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320" windowHeight="11640" tabRatio="763" firstSheet="3" activeTab="3"/>
  </bookViews>
  <sheets>
    <sheet name="Instructions" sheetId="8" r:id="rId1"/>
    <sheet name="ITS Delay Worksheet" sheetId="7" state="hidden" r:id="rId2"/>
    <sheet name="Emissions Reduction Worksheet" sheetId="5" state="hidden" r:id="rId3"/>
    <sheet name="Inputs &amp; Outputs" sheetId="11" r:id="rId4"/>
    <sheet name="Narrative" sheetId="17" r:id="rId5"/>
    <sheet name="Calculations" sheetId="12" r:id="rId6"/>
    <sheet name="Assumed Values" sheetId="2" r:id="rId7"/>
    <sheet name="CRASH RATES" sheetId="15" r:id="rId8"/>
    <sheet name="Value of Statistical Life" sheetId="9" r:id="rId9"/>
    <sheet name="CRF Lookup Table" sheetId="16" r:id="rId10"/>
  </sheets>
  <externalReferences>
    <externalReference r:id="rId11"/>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6">'Assumed Values'!$B$2:$C$30</definedName>
    <definedName name="_xlnm.Print_Area" localSheetId="5">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<sst xmlns="http://schemas.openxmlformats.org/spreadsheetml/2006/main" count="448" uniqueCount="293">
  <si>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</si>
  <si>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</si>
  <si>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</si>
  <si>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</si>
  <si>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</si>
  <si>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</si>
  <si>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</si>
  <si>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</si>
  <si>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</si>
  <si>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</si>
  <si>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</si>
  <si>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</si>
  <si>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</si>
  <si>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</si>
  <si>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</si>
  <si>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</si>
  <si>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</si>
  <si>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</si>
  <si>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</si>
  <si>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</si>
  <si>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</si>
  <si>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</si>
  <si>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</si>
  <si>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</si>
  <si>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</si>
  <si>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</si>
  <si>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</si>
  <si>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</si>
  <si>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</si>
  <si>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</si>
  <si>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</si>
  <si>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</si>
  <si>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</si>
  <si>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</si>
  <si>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</si>
  <si>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</si>
  <si>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</si>
  <si>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</si>
  <si>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</si>
  <si>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</si>
  <si>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</si>
  <si>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</si>
  <si>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</si>
  <si>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</si>
  <si>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</si>
  <si>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</si>
  <si>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</si>
  <si>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</si>
  <si>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</si>
  <si>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</si>
  <si>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</si>
  <si>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</si>
  <si>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</si>
  <si>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</si>
  <si>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</si>
  <si>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</si>
  <si>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</si>
  <si>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</si>
  <si>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</si>
  <si>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</si>
  <si>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</si>
  <si>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</si>
  <si>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</si>
  <si>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</si>
  <si>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</si>
  <si>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</si>
  <si>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</si>
  <si>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</si>
  <si>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</si>
  <si>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</si>
  <si>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</si>
  <si>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</si>
  <si>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</si>
  <si>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</si>
  <si>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</si>
  <si>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</si>
  <si>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</si>
  <si>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</si>
  <si>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</si>
  <si>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</si>
  <si>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</si>
  <si>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</si>
  <si>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</si>
  <si>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</si>
  <si>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</si>
  <si>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</si>
  <si>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</si>
  <si>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</si>
  <si>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</si>
  <si>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</si>
  <si>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</si>
  <si>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</si>
  <si>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</si>
  <si>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</si>
  <si>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</si>
  <si>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</si>
  <si>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</si>
  <si>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</si>
  <si>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</si>
  <si>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</si>
  <si>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</si>
  <si>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</si>
  <si>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</si>
  <si>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</si>
  <si>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</si>
  <si>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</si>
  <si>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</si>
  <si>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</si>
  <si>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</si>
  <si>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</si>
  <si>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</si>
  <si>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</si>
  <si>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</si>
  <si>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</si>
  <si>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</si>
  <si>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</si>
  <si>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</si>
  <si>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</si>
  <si>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</si>
  <si>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</si>
  <si>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</si>
  <si>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</si>
  <si>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</si>
  <si>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</si>
  <si>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</si>
  <si>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</si>
  <si>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</si>
  <si>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</si>
  <si>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</si>
  <si>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</si>
  <si>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</si>
  <si>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</si>
  <si>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</si>
  <si>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</si>
  <si>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</si>
  <si>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</si>
  <si>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</si>
  <si>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</si>
  <si>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</si>
  <si>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</si>
  <si>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</si>
  <si>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</si>
  <si>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</si>
  <si>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</si>
  <si>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</si>
  <si>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</si>
  <si>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</si>
  <si>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</si>
  <si>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</si>
  <si>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</si>
  <si>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</si>
  <si>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</si>
  <si>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</si>
  <si>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</si>
  <si>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</si>
  <si>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</si>
  <si>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</si>
  <si>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</si>
  <si>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</si>
  <si>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</si>
  <si>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</si>
  <si>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</si>
  <si>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</si>
  <si>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</si>
  <si>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</si>
  <si>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</si>
  <si>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</si>
  <si>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</si>
  <si>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</si>
  <si>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</si>
  <si>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</si>
  <si>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</si>
  <si>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</si>
  <si>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</si>
  <si>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</si>
  <si>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</si>
  <si>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</si>
  <si>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</si>
  <si>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</si>
  <si>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</si>
  <si>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</si>
  <si>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</si>
  <si>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</si>
  <si>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</si>
  <si>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</si>
  <si>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</si>
  <si>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</si>
  <si>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</si>
  <si>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</si>
  <si>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</si>
  <si>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</si>
  <si>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</si>
  <si>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</si>
  <si>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</si>
  <si>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</si>
  <si>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</si>
  <si>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</si>
  <si>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</si>
  <si>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</si>
  <si>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</si>
  <si>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</si>
  <si>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</si>
  <si>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</si>
  <si>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</si>
  <si>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</si>
  <si>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</si>
  <si>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</si>
  <si>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</si>
  <si>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</si>
  <si>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</si>
  <si>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</si>
  <si>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</si>
  <si>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</si>
  <si>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</si>
  <si>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</si>
  <si>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</si>
  <si>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</si>
  <si>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</si>
  <si>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</si>
  <si>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</si>
  <si>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</si>
  <si>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</si>
  <si>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</si>
  <si>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</si>
  <si>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</si>
  <si>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</si>
  <si>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</si>
  <si>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</si>
  <si>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</si>
  <si>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</si>
  <si>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</si>
  <si>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</si>
  <si>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</si>
  <si>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</si>
  <si>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</si>
  <si>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</si>
  <si>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</si>
  <si>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</si>
  <si>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</si>
  <si>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</si>
  <si>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</si>
  <si>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</si>
  <si>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</si>
  <si>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</si>
  <si>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</si>
  <si>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</si>
  <si>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</si>
  <si>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</si>
  <si>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</si>
  <si>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</si>
  <si>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</si>
  <si>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</si>
  <si>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</si>
  <si>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</si>
  <si>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</si>
  <si>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</si>
  <si>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</si>
  <si>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</si>
  <si>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</si>
  <si>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</si>
  <si>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</si>
  <si>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</si>
  <si>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</si>
  <si>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</si>
  <si>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</si>
  <si>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</si>
  <si>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</si>
  <si>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</si>
  <si>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</si>
  <si>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</si>
  <si>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</si>
  <si>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</si>
  <si>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</si>
  <si>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</si>
  <si>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</si>
  <si>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</si>
  <si>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</si>
  <si>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</si>
  <si>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</si>
  <si>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</si>
  <si>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</si>
  <si>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Greenhouse Rd</t>
  </si>
  <si>
    <t>Mound Rd.</t>
  </si>
  <si>
    <t>US 290</t>
  </si>
  <si>
    <t>Greenhouse Rd./Skinner Rd. Underpass @ US 290/UPRR</t>
  </si>
  <si>
    <t>Criteria used in Safety Benefits Spreadsheet</t>
  </si>
  <si>
    <t>Benefits for Grade Separation are only computed for traffic that are expected to travel though proposed Greenhouse Road. Therefore, it was necessary to assign traffic volumes on proposed Greenhouse Road in the base year (Year 2017).</t>
  </si>
  <si>
    <t>Inputs for peak period traffic volumes (Year 2025 and Year 2045) on proposed Greenhouse Road were extracted from H-GAC Build Conditions Models.</t>
  </si>
  <si>
    <t>Safety Improvement Type is assumed as “Grade Separation” for this project that provides 80% of Appropriate Crash Reduction Factor with a service life of 30 years.</t>
  </si>
  <si>
    <t>Grade Separation:</t>
  </si>
  <si>
    <t>Since there are two major types of improvements proposed in this project (Underpass and Roadway), safety benefits are estimated in two spreadsheet templates. This spreadsheet is only for Grade Separation improvement.</t>
  </si>
  <si>
    <t>After comparing Year 2025 Build and No-Build Conditions models provided by H-GAC, total peak period traffic volume (AMVOL_T and PMVOL_T) on Greenhouse Road is estimated at 34% from Fry Road and 14% from Barker Cypress Road. These percentages from Fry Road and Barker Cypress Road, respectively, are applied in the Year 2017 Base Model to obtain 2018 Peak Period Traffic Volume on Greenhouse Road (4,645). Assuming 43% of ADT occurs in the peak period, 2018 Volume (ADT) was estimated on Greenhouse Road as 10,802.</t>
  </si>
  <si>
    <t xml:space="preserve">PKCAP (Capacity/hour/direction) were extracted from the H-GAC model (Year 2025) for proposed Greenhouse Road. This PKCAP was multiplied by total peak period (3 hr in the morning and 4 hr in the afternoon) and by 2 for both directions to obtain overall peak period capacity (23,100) for Greenhouse Road.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</si>
</sst>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b/>
      <u/>
      <sz val="12"/>
      <color theme="1"/>
      <name val="Calibri"/>
      <family val="2"/>
      <scheme val="minor"/>
    </font>
    <font>
      <sz val="12"/>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4">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xf numFmtId="0" fontId="0" fillId="0" borderId="0" xfId="0" applyAlignment="1">
      <alignment vertical="center"/>
    </xf>
    <xf numFmtId="0" fontId="0" fillId="0" borderId="0" xfId="0" applyAlignment="1">
      <alignment wrapText="1"/>
    </xf>
    <xf numFmtId="0" fontId="20" fillId="0" borderId="0" xfId="0" applyFont="1" applyAlignment="1">
      <alignment vertical="center" wrapText="1"/>
    </xf>
    <xf numFmtId="0" fontId="21" fillId="0" borderId="0" xfId="0" applyFont="1" applyAlignment="1">
      <alignment vertical="center" wrapText="1"/>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3"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7" zoomScale="85" zoomScaleNormal="85" workbookViewId="0">
      <selection activeCell="D41" sqref="D41"/>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78" t="s">
        <v>284</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0.25</v>
      </c>
      <c r="D12" s="95"/>
      <c r="N12" s="181"/>
      <c r="O12" s="181"/>
      <c r="P12" s="181"/>
      <c r="Q12" s="181"/>
      <c r="R12" s="181"/>
      <c r="S12" s="181"/>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x14ac:dyDescent="0.25">
      <c r="B18" s="4" t="s">
        <v>259</v>
      </c>
      <c r="C18" s="120" t="s">
        <v>190</v>
      </c>
      <c r="D18" s="26"/>
    </row>
    <row r="19" spans="2:13" x14ac:dyDescent="0.25">
      <c r="B19" s="122" t="s">
        <v>251</v>
      </c>
      <c r="C19" s="174">
        <f>VLOOKUP(C18,'CRF Lookup Table'!C3:F84,2, FALSE)</f>
        <v>514</v>
      </c>
      <c r="D19" s="97"/>
    </row>
    <row r="20" spans="2:13" x14ac:dyDescent="0.25">
      <c r="B20" s="122" t="s">
        <v>102</v>
      </c>
      <c r="C20" s="175">
        <f>VLOOKUP(C18,'CRF Lookup Table'!C3:F84,3, FALSE)</f>
        <v>0.8</v>
      </c>
      <c r="D20" s="98"/>
      <c r="F20" s="68"/>
    </row>
    <row r="21" spans="2:13" x14ac:dyDescent="0.25">
      <c r="B21" s="122" t="s">
        <v>101</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10802</v>
      </c>
      <c r="D25" s="99"/>
      <c r="I25" s="49"/>
    </row>
    <row r="26" spans="2:13" x14ac:dyDescent="0.25">
      <c r="I26" s="49"/>
    </row>
    <row r="27" spans="2:13" x14ac:dyDescent="0.25">
      <c r="B27" s="86" t="s">
        <v>269</v>
      </c>
      <c r="C27" s="87">
        <v>4645</v>
      </c>
      <c r="D27" s="99"/>
      <c r="I27" s="49"/>
    </row>
    <row r="28" spans="2:13" x14ac:dyDescent="0.25">
      <c r="B28" s="86" t="s">
        <v>150</v>
      </c>
      <c r="C28" s="87">
        <v>23100</v>
      </c>
      <c r="D28" s="99"/>
      <c r="I28" s="49"/>
    </row>
    <row r="29" spans="2:13" x14ac:dyDescent="0.25">
      <c r="B29" s="86" t="s">
        <v>270</v>
      </c>
      <c r="C29" s="88">
        <v>18982</v>
      </c>
      <c r="D29" s="69"/>
      <c r="I29" s="49"/>
    </row>
    <row r="30" spans="2:13" x14ac:dyDescent="0.25">
      <c r="B30" s="86" t="s">
        <v>151</v>
      </c>
      <c r="C30" s="88">
        <v>23100</v>
      </c>
      <c r="D30" s="69"/>
      <c r="I30" s="49"/>
    </row>
    <row r="31" spans="2:13" x14ac:dyDescent="0.25">
      <c r="B31" s="86" t="s">
        <v>271</v>
      </c>
      <c r="C31" s="87">
        <v>22996</v>
      </c>
      <c r="D31" s="99"/>
      <c r="H31" s="70"/>
    </row>
    <row r="32" spans="2:13" x14ac:dyDescent="0.25">
      <c r="B32" s="86" t="s">
        <v>152</v>
      </c>
      <c r="C32" s="87">
        <v>23100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12256.503466834049</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21"/>
  <sheetViews>
    <sheetView topLeftCell="A4" zoomScale="85" zoomScaleNormal="85" workbookViewId="0">
      <selection activeCell="B13" sqref="B13"/>
    </sheetView>
  </sheetViews>
  <sheetFormatPr defaultRowHeight="15" x14ac:dyDescent="0.25"/>
  <cols>
    <col min="2" max="2" width="164.140625" customWidth="1"/>
  </cols>
  <sheetData>
    <row r="1" spans="2:58" ht="20.100000000000001" customHeight="1" x14ac:dyDescent="0.25">
      <c r="B1" s="190"/>
    </row>
    <row r="2" spans="2:58" ht="39.950000000000003" customHeight="1" x14ac:dyDescent="0.25">
      <c r="B2" s="192" t="s">
        <v>285</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row>
    <row r="3" spans="2:58" ht="38.25" customHeight="1" x14ac:dyDescent="0.25">
      <c r="B3" s="193" t="s">
        <v>290</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row>
    <row r="4" spans="2:58" ht="39.950000000000003" customHeight="1" x14ac:dyDescent="0.25">
      <c r="B4" s="192" t="s">
        <v>289</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row>
    <row r="5" spans="2:58" ht="39.950000000000003" customHeight="1" x14ac:dyDescent="0.25">
      <c r="B5" s="193" t="s">
        <v>288</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row>
    <row r="6" spans="2:58" ht="48" customHeight="1" x14ac:dyDescent="0.25">
      <c r="B6" s="193" t="s">
        <v>286</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row>
    <row r="7" spans="2:58" ht="70.5" customHeight="1" x14ac:dyDescent="0.25">
      <c r="B7" s="193" t="s">
        <v>291</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row>
    <row r="8" spans="2:58" ht="27.75" customHeight="1" x14ac:dyDescent="0.25">
      <c r="B8" s="193" t="s">
        <v>287</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row>
    <row r="9" spans="2:58" ht="45" customHeight="1" x14ac:dyDescent="0.25">
      <c r="B9" s="193" t="s">
        <v>292</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row>
    <row r="10" spans="2:58" ht="39.950000000000003" customHeight="1" x14ac:dyDescent="0.25">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row>
    <row r="11" spans="2:58" ht="39.950000000000003" customHeight="1" x14ac:dyDescent="0.25">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row>
    <row r="12" spans="2:58" x14ac:dyDescent="0.25">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row>
    <row r="13" spans="2:58" x14ac:dyDescent="0.25">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row>
    <row r="14" spans="2:58" x14ac:dyDescent="0.25">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row>
    <row r="15" spans="2:58" x14ac:dyDescent="0.25">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row>
    <row r="16" spans="2:58" x14ac:dyDescent="0.25">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row>
    <row r="17" spans="2:58" x14ac:dyDescent="0.25">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row>
    <row r="18" spans="2:58" x14ac:dyDescent="0.25">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row>
    <row r="19" spans="2:58" x14ac:dyDescent="0.25">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row>
    <row r="20" spans="2:58" x14ac:dyDescent="0.25">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row>
    <row r="21" spans="2:58" x14ac:dyDescent="0.25">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H10" zoomScale="70" zoomScaleNormal="70"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24146.300545730315</v>
      </c>
      <c r="G4" s="184" t="s">
        <v>260</v>
      </c>
      <c r="H4" s="184"/>
      <c r="I4" s="184"/>
      <c r="J4" s="184"/>
      <c r="L4" s="136"/>
      <c r="M4" s="137">
        <v>2018</v>
      </c>
      <c r="N4" s="138">
        <f>_2018_Volume_ADT</f>
        <v>10802</v>
      </c>
      <c r="O4" s="139" t="s">
        <v>85</v>
      </c>
      <c r="P4" s="140">
        <f>MIN(B12,1)</f>
        <v>0.20108225108225108</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145</v>
      </c>
      <c r="E5" s="135">
        <f>$E$4*'Inputs &amp; Outputs'!$C$12</f>
        <v>6036.5751364325788</v>
      </c>
      <c r="G5" s="185" t="s">
        <v>261</v>
      </c>
      <c r="H5" s="185"/>
      <c r="I5" s="185"/>
      <c r="J5" s="143">
        <f>SUMPRODUCT(Possible_Crash_Reductions,'Value of Statistical Life'!E5:E11)</f>
        <v>669325.80243817181</v>
      </c>
      <c r="L5" s="136"/>
      <c r="M5" s="144">
        <f t="shared" ref="M5:M36" si="1">M4+1</f>
        <v>2019</v>
      </c>
      <c r="N5" s="145">
        <f>N4+(N4*O5)</f>
        <v>13208.113133254934</v>
      </c>
      <c r="O5" s="146">
        <f t="shared" ref="O5:O11" si="2">IF(ISERROR(_2025_2045_Demand_Growth),_2018_2045_Demand_Growth,_2018_2025_Demand_Growth)</f>
        <v>0.22274700363404309</v>
      </c>
      <c r="P5" s="147">
        <f t="shared" ref="P5:P11" si="3">P4*(1+IFERROR(_2018_2025_V_C_Growth,_2018_2045_V_C_Growth))</f>
        <v>0.24587271999481083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1569509.5354724706</v>
      </c>
      <c r="L6" s="136"/>
      <c r="M6" s="137">
        <f t="shared" si="1"/>
        <v>2020</v>
      </c>
      <c r="N6" s="145">
        <f t="shared" ref="N6:N36" si="6">N5+(N5*O6)</f>
        <v>16150.180757346923</v>
      </c>
      <c r="O6" s="146">
        <f t="shared" si="2"/>
        <v>0.22274700363404309</v>
      </c>
      <c r="P6" s="147">
        <f t="shared" si="3"/>
        <v>0.30064013164900705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19747.585129194133</v>
      </c>
      <c r="O7" s="146">
        <f t="shared" si="2"/>
        <v>0.22274700363404309</v>
      </c>
      <c r="P7" s="147">
        <f t="shared" si="3"/>
        <v>0.36760682014596763</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24146.300545730315</v>
      </c>
      <c r="O8" s="146">
        <f t="shared" si="2"/>
        <v>0.22274700363404309</v>
      </c>
      <c r="P8" s="147">
        <f t="shared" si="3"/>
        <v>0.4494901378489205</v>
      </c>
      <c r="Q8" s="148">
        <f t="shared" si="4"/>
        <v>1</v>
      </c>
      <c r="R8" s="37">
        <f>IF(M8=Year_Open_to_Traffic?,Calculations!$J$5,Calculations!R7+(Calculations!R7*Calculations!O8*Q8))</f>
        <v>669325.80243817181</v>
      </c>
      <c r="S8" s="54">
        <f t="shared" si="0"/>
        <v>1</v>
      </c>
      <c r="T8" s="37">
        <f t="shared" si="5"/>
        <v>669.32580243817176</v>
      </c>
      <c r="U8" s="142">
        <f>T8/(1+Real_Discount_Rate)^(Calculations!M8-'Assumed Values'!$C$5)</f>
        <v>510.625449979949</v>
      </c>
    </row>
    <row r="9" spans="1:21" ht="15.75" x14ac:dyDescent="0.25">
      <c r="A9" s="152" t="s">
        <v>76</v>
      </c>
      <c r="B9" s="153">
        <f>(_2025_Peak_Period_Volume/'Inputs &amp; Outputs'!$C$27)^(1/(2025-2018))-1</f>
        <v>0.22274700363404309</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29524.816641138801</v>
      </c>
      <c r="O9" s="146">
        <f t="shared" si="2"/>
        <v>0.22274700363404309</v>
      </c>
      <c r="P9" s="147">
        <f t="shared" si="3"/>
        <v>0.54961271921782051</v>
      </c>
      <c r="Q9" s="148">
        <f t="shared" si="4"/>
        <v>1</v>
      </c>
      <c r="R9" s="37">
        <f>IF(M9=Year_Open_to_Traffic?,Calculations!$J$5,Calculations!R8+(Calculations!R8*Calculations!O9*Q9))</f>
        <v>818416.11938622606</v>
      </c>
      <c r="S9" s="54">
        <f t="shared" si="0"/>
        <v>1</v>
      </c>
      <c r="T9" s="37">
        <f t="shared" si="5"/>
        <v>818.416119386226</v>
      </c>
      <c r="U9" s="142">
        <f>T9/(1+Real_Discount_Rate)^(Calculations!M9-'Assumed Values'!$C$5)</f>
        <v>583.51938218903513</v>
      </c>
    </row>
    <row r="10" spans="1:21" ht="15.75" x14ac:dyDescent="0.25">
      <c r="A10" s="152" t="s">
        <v>106</v>
      </c>
      <c r="B10" s="153">
        <f>(_2045_Peak_Period_Volume/_2025_Peak_Period_Volume)^(1/(2045-2025))-1</f>
        <v>9.6376017356103461E-3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36101.381080797</v>
      </c>
      <c r="O10" s="146">
        <f t="shared" si="2"/>
        <v>0.22274700363404309</v>
      </c>
      <c r="P10" s="147">
        <f t="shared" si="3"/>
        <v>0.67203730558274866</v>
      </c>
      <c r="Q10" s="148">
        <f t="shared" si="4"/>
        <v>1</v>
      </c>
      <c r="R10" s="37">
        <f>IF(M10=Year_Open_to_Traffic?,Calculations!$J$5,Calculations!R9+(Calculations!R9*Calculations!O10*Q10))</f>
        <v>1000715.8577053092</v>
      </c>
      <c r="S10" s="54">
        <f t="shared" si="0"/>
        <v>1</v>
      </c>
      <c r="T10" s="37">
        <f t="shared" si="5"/>
        <v>1000.7158577053092</v>
      </c>
      <c r="U10" s="142">
        <f>T10/(1+Real_Discount_Rate)^(Calculations!M10-'Assumed Values'!$C$5)</f>
        <v>666.81923003180441</v>
      </c>
    </row>
    <row r="11" spans="1:21" ht="15.75" x14ac:dyDescent="0.25">
      <c r="A11" s="152" t="s">
        <v>107</v>
      </c>
      <c r="B11" s="153">
        <f>(_2045_Peak_Period_Volume/'Inputs &amp; Outputs'!$C$27)^(1/(2045-2018))-1</f>
        <v>6.103177960433559E-2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44142.855543595266</v>
      </c>
      <c r="O11" s="146">
        <f t="shared" si="2"/>
        <v>0.22274700363404309</v>
      </c>
      <c r="P11" s="147">
        <f t="shared" si="3"/>
        <v>0.82173160173160165</v>
      </c>
      <c r="Q11" s="148">
        <f t="shared" si="4"/>
        <v>1</v>
      </c>
      <c r="R11" s="37">
        <f>IF(M11=Year_Open_to_Traffic?,Calculations!$J$5,Calculations!R10+(Calculations!R10*Calculations!O11*Q11))</f>
        <v>1223622.3164982381</v>
      </c>
      <c r="S11" s="54">
        <f t="shared" si="0"/>
        <v>1</v>
      </c>
      <c r="T11" s="37">
        <f t="shared" si="5"/>
        <v>1223.6223164982382</v>
      </c>
      <c r="U11" s="142">
        <f>T11/(1+Real_Discount_Rate)^(Calculations!M11-'Assumed Values'!$C$5)</f>
        <v>762.01048176350332</v>
      </c>
    </row>
    <row r="12" spans="1:21" ht="15.75" x14ac:dyDescent="0.25">
      <c r="A12" s="152" t="s">
        <v>75</v>
      </c>
      <c r="B12" s="156">
        <f>'Inputs &amp; Outputs'!C27/_2018_Peak_Period_Capacity</f>
        <v>0.20108225108225108</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44568.286804797019</v>
      </c>
      <c r="O12" s="146">
        <f t="shared" ref="O12:O36" si="7">IFERROR(_2025_2045_Demand_Growth,_2018_2045_Demand_Growth)</f>
        <v>9.6376017356103461E-3</v>
      </c>
      <c r="P12" s="147">
        <f t="shared" ref="P12:P36" si="8">P11*(1+IFERROR(_2025_2040_V_C_Growth,_2018_2045_V_C_Growth))</f>
        <v>0.82965112364265603</v>
      </c>
      <c r="Q12" s="148">
        <f t="shared" si="4"/>
        <v>1</v>
      </c>
      <c r="R12" s="37">
        <f>IF(M12=Year_Open_to_Traffic?,Calculations!$J$5,Calculations!R11+(Calculations!R11*Calculations!O12*Q12))</f>
        <v>1235415.1010594531</v>
      </c>
      <c r="S12" s="54">
        <f t="shared" si="0"/>
        <v>1</v>
      </c>
      <c r="T12" s="37">
        <f t="shared" si="5"/>
        <v>1235.415101059453</v>
      </c>
      <c r="U12" s="142">
        <f>T12/(1+Real_Discount_Rate)^(Calculations!M12-'Assumed Values'!$C$5)</f>
        <v>719.0228367337387</v>
      </c>
    </row>
    <row r="13" spans="1:21" ht="15.75" x14ac:dyDescent="0.25">
      <c r="A13" s="152" t="s">
        <v>74</v>
      </c>
      <c r="B13" s="156">
        <f>_2025_Peak_Period_Volume/_2025_Peak_Period_Capacity</f>
        <v>0.82173160173160176</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44997.818203060109</v>
      </c>
      <c r="O13" s="146">
        <f t="shared" si="7"/>
        <v>9.6376017356103461E-3</v>
      </c>
      <c r="P13" s="147">
        <f t="shared" si="8"/>
        <v>0.83764697075182559</v>
      </c>
      <c r="Q13" s="148">
        <f t="shared" si="4"/>
        <v>1</v>
      </c>
      <c r="R13" s="37">
        <f>IF(M13=Year_Open_to_Traffic?,Calculations!$J$5,Calculations!R12+(Calculations!R12*Calculations!O13*Q13))</f>
        <v>1247321.5397816228</v>
      </c>
      <c r="S13" s="54">
        <f t="shared" si="0"/>
        <v>1</v>
      </c>
      <c r="T13" s="37">
        <f t="shared" si="5"/>
        <v>1247.3215397816227</v>
      </c>
      <c r="U13" s="142">
        <f>T13/(1+Real_Discount_Rate)^(Calculations!M13-'Assumed Values'!$C$5)</f>
        <v>678.4602733392403</v>
      </c>
    </row>
    <row r="14" spans="1:21" ht="15.75" x14ac:dyDescent="0.25">
      <c r="A14" s="152" t="s">
        <v>148</v>
      </c>
      <c r="B14" s="156">
        <f>_2045_Peak_Period_Volume/_2045_Peak_Period_Capacity</f>
        <v>0.99549783549783555</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45431.489253872598</v>
      </c>
      <c r="O14" s="146">
        <f t="shared" si="7"/>
        <v>9.6376017356103461E-3</v>
      </c>
      <c r="P14" s="147">
        <f>P13*(1+IFERROR(_2025_2040_V_C_Growth,_2018_2045_V_C_Growth))</f>
        <v>0.84571987865097209</v>
      </c>
      <c r="Q14" s="148">
        <f t="shared" si="4"/>
        <v>1</v>
      </c>
      <c r="R14" s="37">
        <f>IF(M14=Year_Open_to_Traffic?,Calculations!$J$5,Calculations!R13+(Calculations!R13*Calculations!O14*Q14))</f>
        <v>1259342.7280182864</v>
      </c>
      <c r="S14" s="54">
        <f t="shared" si="0"/>
        <v>1</v>
      </c>
      <c r="T14" s="37">
        <f t="shared" si="5"/>
        <v>1259.3427280182864</v>
      </c>
      <c r="U14" s="142">
        <f>T14/(1+Real_Discount_Rate)^(Calculations!M14-'Assumed Values'!$C$5)</f>
        <v>640.18598434310036</v>
      </c>
    </row>
    <row r="15" spans="1:21" ht="15.75" x14ac:dyDescent="0.25">
      <c r="A15" s="152" t="s">
        <v>80</v>
      </c>
      <c r="B15" s="153">
        <f>(B13/B12)^(1/(2025-2018))-1</f>
        <v>0.22274700363404309</v>
      </c>
      <c r="L15" s="136"/>
      <c r="M15" s="144">
        <f>M14+1</f>
        <v>2029</v>
      </c>
      <c r="N15" s="145">
        <f t="shared" si="6"/>
        <v>45869.339853557081</v>
      </c>
      <c r="O15" s="146">
        <f t="shared" si="7"/>
        <v>9.6376017356103461E-3</v>
      </c>
      <c r="P15" s="147">
        <f>P14*(1+IFERROR(_2025_2040_V_C_Growth,_2018_2045_V_C_Growth))</f>
        <v>0.85387059002129884</v>
      </c>
      <c r="Q15" s="148">
        <f t="shared" si="4"/>
        <v>1</v>
      </c>
      <c r="R15" s="37">
        <f>IF(M15=Year_Open_to_Traffic?,Calculations!$J$5,Calculations!R14+(Calculations!R14*Calculations!O15*Q15))</f>
        <v>1271479.7716795637</v>
      </c>
      <c r="S15" s="54">
        <f t="shared" si="0"/>
        <v>1</v>
      </c>
      <c r="T15" s="37">
        <f t="shared" si="5"/>
        <v>1271.4797716795638</v>
      </c>
      <c r="U15" s="142">
        <f>T15/(1+Real_Discount_Rate)^(Calculations!M15-'Assumed Values'!$C$5)</f>
        <v>604.07088027749421</v>
      </c>
    </row>
    <row r="16" spans="1:21" ht="15.75" x14ac:dyDescent="0.25">
      <c r="A16" s="152" t="s">
        <v>108</v>
      </c>
      <c r="B16" s="153">
        <f>(B14/B13)^(1/(2045-2025))-1</f>
        <v>9.6376017356103461E-3</v>
      </c>
      <c r="D16" s="157" t="s">
        <v>136</v>
      </c>
      <c r="E16" s="151"/>
      <c r="L16" s="136"/>
      <c r="M16" s="137">
        <f t="shared" si="1"/>
        <v>2030</v>
      </c>
      <c r="N16" s="145">
        <f t="shared" si="6"/>
        <v>46311.410282941026</v>
      </c>
      <c r="O16" s="146">
        <f t="shared" si="7"/>
        <v>9.6376017356103461E-3</v>
      </c>
      <c r="P16" s="147">
        <f t="shared" si="8"/>
        <v>0.86209985470167472</v>
      </c>
      <c r="Q16" s="148">
        <f t="shared" si="4"/>
        <v>1</v>
      </c>
      <c r="R16" s="37">
        <f>IF(M16=Year_Open_to_Traffic?,Calculations!$J$5,Calculations!R15+(Calculations!R15*Calculations!O16*Q16))</f>
        <v>1283733.7873338962</v>
      </c>
      <c r="S16" s="54">
        <f t="shared" si="0"/>
        <v>1</v>
      </c>
      <c r="T16" s="37">
        <f t="shared" si="5"/>
        <v>1283.7337873338961</v>
      </c>
      <c r="U16" s="142">
        <f>T16/(1+Real_Discount_Rate)^(Calculations!M16-'Assumed Values'!$C$5)</f>
        <v>569.99315405765265</v>
      </c>
    </row>
    <row r="17" spans="1:21" ht="15.75" x14ac:dyDescent="0.25">
      <c r="A17" s="152" t="s">
        <v>109</v>
      </c>
      <c r="B17" s="153">
        <f>(B14/B12)^(1/(2045-2018))-1</f>
        <v>6.103177960433559E-2</v>
      </c>
      <c r="D17" s="152" t="s">
        <v>89</v>
      </c>
      <c r="E17" s="158">
        <f>($E$6*Death_Rate)/100000000</f>
        <v>2.7396952811134249E-2</v>
      </c>
      <c r="L17" s="136"/>
      <c r="M17" s="144">
        <f t="shared" si="1"/>
        <v>2031</v>
      </c>
      <c r="N17" s="145">
        <f t="shared" si="6"/>
        <v>46757.741211062465</v>
      </c>
      <c r="O17" s="146">
        <f t="shared" si="7"/>
        <v>9.6376017356103461E-3</v>
      </c>
      <c r="P17" s="147">
        <f t="shared" si="8"/>
        <v>0.87040842975761701</v>
      </c>
      <c r="Q17" s="148">
        <f t="shared" si="4"/>
        <v>1</v>
      </c>
      <c r="R17" s="37">
        <f>IF(M17=Year_Open_to_Traffic?,Calculations!$J$5,Calculations!R16+(Calculations!R16*Calculations!O17*Q17))</f>
        <v>1296105.902310767</v>
      </c>
      <c r="S17" s="54">
        <f t="shared" si="0"/>
        <v>1</v>
      </c>
      <c r="T17" s="37">
        <f t="shared" si="5"/>
        <v>1296.1059023107671</v>
      </c>
      <c r="U17" s="142">
        <f>T17/(1+Real_Discount_Rate)^(Calculations!M17-'Assumed Values'!$C$5)</f>
        <v>537.83787015746236</v>
      </c>
    </row>
    <row r="18" spans="1:21" ht="15.75" x14ac:dyDescent="0.25">
      <c r="D18" s="152" t="s">
        <v>94</v>
      </c>
      <c r="E18" s="158">
        <f>($E$6*Incap_Injry_Rate)/100000000</f>
        <v>0.138487177596927</v>
      </c>
      <c r="L18" s="136"/>
      <c r="M18" s="137">
        <f t="shared" si="1"/>
        <v>2032</v>
      </c>
      <c r="N18" s="145">
        <f t="shared" si="6"/>
        <v>47208.373698911419</v>
      </c>
      <c r="O18" s="146">
        <f t="shared" si="7"/>
        <v>9.6376017356103461E-3</v>
      </c>
      <c r="P18" s="147">
        <f t="shared" si="8"/>
        <v>0.87879707955093889</v>
      </c>
      <c r="Q18" s="148">
        <f t="shared" si="4"/>
        <v>1</v>
      </c>
      <c r="R18" s="37">
        <f>IF(M18=Year_Open_to_Traffic?,Calculations!$J$5,Calculations!R17+(Calculations!R17*Calculations!O18*Q18))</f>
        <v>1308597.2548044121</v>
      </c>
      <c r="S18" s="54">
        <f t="shared" si="0"/>
        <v>1</v>
      </c>
      <c r="T18" s="37">
        <f t="shared" si="5"/>
        <v>1308.5972548044122</v>
      </c>
      <c r="U18" s="142">
        <f>T18/(1+Real_Discount_Rate)^(Calculations!M18-'Assumed Values'!$C$5)</f>
        <v>507.49657696109244</v>
      </c>
    </row>
    <row r="19" spans="1:21" ht="15.75" x14ac:dyDescent="0.25">
      <c r="D19" s="152" t="s">
        <v>93</v>
      </c>
      <c r="E19" s="158">
        <f>($E$6*Nonincap_Injry_Rate)/100000000</f>
        <v>0.78134341872012214</v>
      </c>
      <c r="L19" s="136"/>
      <c r="M19" s="144">
        <f t="shared" si="1"/>
        <v>2033</v>
      </c>
      <c r="N19" s="145">
        <f t="shared" si="6"/>
        <v>47663.349203207392</v>
      </c>
      <c r="O19" s="146">
        <f t="shared" si="7"/>
        <v>9.6376017356103461E-3</v>
      </c>
      <c r="P19" s="147">
        <f t="shared" si="8"/>
        <v>0.88726657581006829</v>
      </c>
      <c r="Q19" s="148">
        <f t="shared" si="4"/>
        <v>1</v>
      </c>
      <c r="R19" s="37">
        <f>IF(M19=Year_Open_to_Traffic?,Calculations!$J$5,Calculations!R18+(Calculations!R18*Calculations!O19*Q19))</f>
        <v>1321208.9939785302</v>
      </c>
      <c r="S19" s="54">
        <f t="shared" si="0"/>
        <v>1</v>
      </c>
      <c r="T19" s="37">
        <f t="shared" si="5"/>
        <v>1321.2089939785301</v>
      </c>
      <c r="U19" s="142">
        <f>T19/(1+Real_Discount_Rate)^(Calculations!M19-'Assumed Values'!$C$5)</f>
        <v>478.86694098320459</v>
      </c>
    </row>
    <row r="20" spans="1:21" ht="15.75" x14ac:dyDescent="0.25">
      <c r="D20" s="152" t="s">
        <v>92</v>
      </c>
      <c r="E20" s="158">
        <f>($E$6*Poss_Injry_Rate/100000000)</f>
        <v>1.9505746628856258</v>
      </c>
      <c r="L20" s="136"/>
      <c r="M20" s="137">
        <f t="shared" si="1"/>
        <v>2034</v>
      </c>
      <c r="N20" s="145">
        <f t="shared" si="6"/>
        <v>48122.709580213224</v>
      </c>
      <c r="O20" s="146">
        <f t="shared" si="7"/>
        <v>9.6376017356103461E-3</v>
      </c>
      <c r="P20" s="147">
        <f t="shared" si="8"/>
        <v>0.89581769770104447</v>
      </c>
      <c r="Q20" s="148">
        <f t="shared" si="4"/>
        <v>1</v>
      </c>
      <c r="R20" s="37">
        <f>IF(M20=Year_Open_to_Traffic?,Calculations!$J$5,Calculations!R19+(Calculations!R19*Calculations!O20*Q20))</f>
        <v>1333942.2800720017</v>
      </c>
      <c r="S20" s="54">
        <f t="shared" si="0"/>
        <v>1</v>
      </c>
      <c r="T20" s="37">
        <f t="shared" si="5"/>
        <v>1333.9422800720017</v>
      </c>
      <c r="U20" s="142">
        <f>T20/(1+Real_Discount_Rate)^(Calculations!M20-'Assumed Values'!$C$5)</f>
        <v>451.85240172406623</v>
      </c>
    </row>
    <row r="21" spans="1:21" ht="15.75" x14ac:dyDescent="0.25">
      <c r="D21" s="152" t="s">
        <v>91</v>
      </c>
      <c r="E21" s="158">
        <f>($E$6*Non_Injry_Rate)/100000000</f>
        <v>15.124708742554493</v>
      </c>
      <c r="L21" s="136"/>
      <c r="M21" s="144">
        <f>M20+1</f>
        <v>2035</v>
      </c>
      <c r="N21" s="145">
        <f t="shared" si="6"/>
        <v>48586.497089585762</v>
      </c>
      <c r="O21" s="146">
        <f t="shared" si="7"/>
        <v>9.6376017356103461E-3</v>
      </c>
      <c r="P21" s="147">
        <f>P20*(1+IFERROR(_2025_2040_V_C_Growth,_2018_2045_V_C_Growth))</f>
        <v>0.90445123189919852</v>
      </c>
      <c r="Q21" s="148">
        <f t="shared" si="4"/>
        <v>1</v>
      </c>
      <c r="R21" s="37">
        <f>IF(M21=Year_Open_to_Traffic?,Calculations!$J$5,Calculations!R20+(Calculations!R20*Calculations!O21*Q21))</f>
        <v>1346798.2845056276</v>
      </c>
      <c r="S21" s="54">
        <f t="shared" si="0"/>
        <v>1</v>
      </c>
      <c r="T21" s="37">
        <f t="shared" si="5"/>
        <v>1346.7982845056276</v>
      </c>
      <c r="U21" s="142">
        <f>T21/(1+Real_Discount_Rate)^(Calculations!M21-'Assumed Values'!$C$5)</f>
        <v>426.36184599547829</v>
      </c>
    </row>
    <row r="22" spans="1:21" ht="15.75" x14ac:dyDescent="0.25">
      <c r="D22" s="152" t="s">
        <v>90</v>
      </c>
      <c r="E22" s="158">
        <f>($E$6*Unkn_Injry_Rate)/100000000</f>
        <v>1.3124024169204629</v>
      </c>
      <c r="L22" s="136"/>
      <c r="M22" s="137">
        <f>M21+1</f>
        <v>2036</v>
      </c>
      <c r="N22" s="145">
        <f t="shared" si="6"/>
        <v>49054.754398263583</v>
      </c>
      <c r="O22" s="146">
        <f t="shared" si="7"/>
        <v>9.6376017356103461E-3</v>
      </c>
      <c r="P22" s="147">
        <f t="shared" si="8"/>
        <v>0.91316797266152516</v>
      </c>
      <c r="Q22" s="148">
        <f t="shared" si="4"/>
        <v>1</v>
      </c>
      <c r="R22" s="37">
        <f>IF(M22=Year_Open_to_Traffic?,Calculations!$J$5,Calculations!R21+(Calculations!R21*Calculations!O22*Q22))</f>
        <v>1359778.189989896</v>
      </c>
      <c r="S22" s="54">
        <f t="shared" si="0"/>
        <v>1</v>
      </c>
      <c r="T22" s="37">
        <f t="shared" si="5"/>
        <v>1359.778189989896</v>
      </c>
      <c r="U22" s="142">
        <f>T22/(1+Real_Discount_Rate)^(Calculations!M22-'Assumed Values'!$C$5)</f>
        <v>402.30930061910493</v>
      </c>
    </row>
    <row r="23" spans="1:21" ht="15.75" x14ac:dyDescent="0.25">
      <c r="L23" s="136"/>
      <c r="M23" s="144">
        <f t="shared" si="1"/>
        <v>2037</v>
      </c>
      <c r="N23" s="145">
        <f t="shared" si="6"/>
        <v>49527.524584392231</v>
      </c>
      <c r="O23" s="146">
        <f t="shared" si="7"/>
        <v>9.6376017356103461E-3</v>
      </c>
      <c r="P23" s="147">
        <f t="shared" si="8"/>
        <v>0.92196872189975165</v>
      </c>
      <c r="Q23" s="148">
        <f t="shared" si="4"/>
        <v>1</v>
      </c>
      <c r="R23" s="37">
        <f>IF(M23=Year_Open_to_Traffic?,Calculations!$J$5,Calculations!R22+(Calculations!R22*Calculations!O23*Q23))</f>
        <v>1372883.1906337878</v>
      </c>
      <c r="S23" s="54">
        <f t="shared" si="0"/>
        <v>1</v>
      </c>
      <c r="T23" s="37">
        <f t="shared" si="5"/>
        <v>1372.8831906337878</v>
      </c>
      <c r="U23" s="142">
        <f>T23/(1+Real_Discount_Rate)^(Calculations!M23-'Assumed Values'!$C$5)</f>
        <v>379.61364246075124</v>
      </c>
    </row>
    <row r="24" spans="1:21" ht="15.75" x14ac:dyDescent="0.25">
      <c r="L24" s="136"/>
      <c r="M24" s="137">
        <f t="shared" si="1"/>
        <v>2038</v>
      </c>
      <c r="N24" s="145">
        <f t="shared" si="6"/>
        <v>50004.851141287254</v>
      </c>
      <c r="O24" s="146">
        <f t="shared" si="7"/>
        <v>9.6376017356103461E-3</v>
      </c>
      <c r="P24" s="147">
        <f t="shared" si="8"/>
        <v>0.93085428925411118</v>
      </c>
      <c r="Q24" s="148">
        <f t="shared" si="4"/>
        <v>1</v>
      </c>
      <c r="R24" s="37">
        <f>IF(M24=Year_Open_to_Traffic?,Calculations!$J$5,Calculations!R23+(Calculations!R23*Calculations!O24*Q24))</f>
        <v>1386114.4920546303</v>
      </c>
      <c r="S24" s="54">
        <f t="shared" si="0"/>
        <v>1</v>
      </c>
      <c r="T24" s="37">
        <f t="shared" si="5"/>
        <v>1386.1144920546303</v>
      </c>
      <c r="U24" s="142">
        <f>T24/(1+Real_Discount_Rate)^(Calculations!M24-'Assumed Values'!$C$5)</f>
        <v>358.19832482260972</v>
      </c>
    </row>
    <row r="25" spans="1:21" ht="15.75" x14ac:dyDescent="0.25">
      <c r="A25" s="182" t="s">
        <v>99</v>
      </c>
      <c r="B25" s="182"/>
      <c r="D25" s="159" t="s">
        <v>89</v>
      </c>
      <c r="E25" s="159" t="s">
        <v>94</v>
      </c>
      <c r="F25" s="159" t="s">
        <v>93</v>
      </c>
      <c r="G25" s="159" t="s">
        <v>92</v>
      </c>
      <c r="H25" s="159" t="s">
        <v>91</v>
      </c>
      <c r="I25" s="159" t="s">
        <v>90</v>
      </c>
      <c r="J25" s="183" t="s">
        <v>100</v>
      </c>
      <c r="L25" s="136"/>
      <c r="M25" s="144">
        <f t="shared" si="1"/>
        <v>2039</v>
      </c>
      <c r="N25" s="145">
        <f t="shared" si="6"/>
        <v>50486.777981435458</v>
      </c>
      <c r="O25" s="146">
        <f t="shared" si="7"/>
        <v>9.6376017356103461E-3</v>
      </c>
      <c r="P25" s="147">
        <f t="shared" si="8"/>
        <v>0.93982549216782696</v>
      </c>
      <c r="Q25" s="148">
        <f t="shared" si="4"/>
        <v>1</v>
      </c>
      <c r="R25" s="37">
        <f>IF(M25=Year_Open_to_Traffic?,Calculations!$J$5,Calculations!R24+(Calculations!R24*Calculations!O25*Q25))</f>
        <v>1399473.3114890107</v>
      </c>
      <c r="S25" s="54">
        <f t="shared" si="0"/>
        <v>1</v>
      </c>
      <c r="T25" s="37">
        <f t="shared" si="5"/>
        <v>1399.4733114890107</v>
      </c>
      <c r="U25" s="142">
        <f>T25/(1+Real_Discount_Rate)^(Calculations!M25-'Assumed Values'!$C$5)</f>
        <v>337.99111927066616</v>
      </c>
    </row>
    <row r="26" spans="1:21" ht="15.75" x14ac:dyDescent="0.25">
      <c r="A26" s="182"/>
      <c r="B26" s="182"/>
      <c r="D26" s="160">
        <f>Calculations!E17</f>
        <v>2.7396952811134249E-2</v>
      </c>
      <c r="E26" s="160">
        <f>Calculations!E18</f>
        <v>0.138487177596927</v>
      </c>
      <c r="F26" s="160">
        <f>Calculations!E19</f>
        <v>0.78134341872012214</v>
      </c>
      <c r="G26" s="160">
        <f>Calculations!E20</f>
        <v>1.9505746628856258</v>
      </c>
      <c r="H26" s="160">
        <f>Calculations!E21</f>
        <v>15.124708742554493</v>
      </c>
      <c r="I26" s="160">
        <f>Calculations!E22</f>
        <v>1.3124024169204629</v>
      </c>
      <c r="J26" s="183"/>
      <c r="L26" s="136"/>
      <c r="M26" s="137">
        <f t="shared" si="1"/>
        <v>2040</v>
      </c>
      <c r="N26" s="145">
        <f t="shared" si="6"/>
        <v>50973.349440534716</v>
      </c>
      <c r="O26" s="146">
        <f t="shared" si="7"/>
        <v>9.6376017356103461E-3</v>
      </c>
      <c r="P26" s="147">
        <f t="shared" si="8"/>
        <v>0.94888315596231443</v>
      </c>
      <c r="Q26" s="148">
        <f t="shared" si="4"/>
        <v>1</v>
      </c>
      <c r="R26" s="37">
        <f>IF(M26=Year_Open_to_Traffic?,Calculations!$J$5,Calculations!R25+(Calculations!R25*Calculations!O26*Q26))</f>
        <v>1412960.8779047576</v>
      </c>
      <c r="S26" s="54">
        <f t="shared" si="0"/>
        <v>1</v>
      </c>
      <c r="T26" s="37">
        <f t="shared" si="5"/>
        <v>1412.9608779047576</v>
      </c>
      <c r="U26" s="142">
        <f>T26/(1+Real_Discount_Rate)^(Calculations!M26-'Assumed Values'!$C$5)</f>
        <v>318.92387202651406</v>
      </c>
    </row>
    <row r="27" spans="1:21" ht="15.75" x14ac:dyDescent="0.25">
      <c r="A27" s="161" t="s">
        <v>95</v>
      </c>
      <c r="B27" s="162" t="s">
        <v>96</v>
      </c>
      <c r="D27" s="163">
        <f>D$26*'Value of Statistical Life'!D17*Appropriate_Crash_Reduction_Factor</f>
        <v>0</v>
      </c>
      <c r="E27" s="163">
        <f>E$26*'Value of Statistical Life'!E17*Appropriate_Crash_Reduction_Factor</f>
        <v>3.8078434352051046E-3</v>
      </c>
      <c r="F27" s="163">
        <f>F$26*'Value of Statistical Life'!F17*Appropriate_Crash_Reduction_Factor</f>
        <v>5.2174988128454884E-2</v>
      </c>
      <c r="G27" s="163">
        <f>G$26*'Value of Statistical Life'!G17*Appropriate_Crash_Reduction_Factor</f>
        <v>0.36572494699240332</v>
      </c>
      <c r="H27" s="163">
        <f>H$26*'Value of Statistical Life'!H17*Appropriate_Crash_Reduction_Factor</f>
        <v>11.1963983902683</v>
      </c>
      <c r="I27" s="163">
        <f>I$26*'Value of Statistical Life'!I17*Appropriate_Crash_Reduction_Factor</f>
        <v>0.45856390369134509</v>
      </c>
      <c r="J27" s="163">
        <f t="shared" ref="J27:J33" si="9">SUM(D27:I27)</f>
        <v>12.076670072515709</v>
      </c>
      <c r="K27" s="164"/>
      <c r="L27" s="136"/>
      <c r="M27" s="144">
        <f t="shared" si="1"/>
        <v>2041</v>
      </c>
      <c r="N27" s="145">
        <f t="shared" si="6"/>
        <v>51464.610281572684</v>
      </c>
      <c r="O27" s="146">
        <f t="shared" si="7"/>
        <v>9.6376017356103461E-3</v>
      </c>
      <c r="P27" s="147">
        <f t="shared" si="8"/>
        <v>0.95802811391310827</v>
      </c>
      <c r="Q27" s="148">
        <f t="shared" si="4"/>
        <v>1</v>
      </c>
      <c r="R27" s="37">
        <f>IF(M27=Year_Open_to_Traffic?,Calculations!$J$5,Calculations!R26+(Calculations!R26*Calculations!O27*Q27))</f>
        <v>1426578.4321140021</v>
      </c>
      <c r="S27" s="54">
        <f t="shared" si="0"/>
        <v>1</v>
      </c>
      <c r="T27" s="37">
        <f t="shared" si="5"/>
        <v>1426.578432114002</v>
      </c>
      <c r="U27" s="142">
        <f>T27/(1+Real_Discount_Rate)^(Calculations!M27-'Assumed Values'!$C$5)</f>
        <v>300.932274101948</v>
      </c>
    </row>
    <row r="28" spans="1:21" ht="15.75" x14ac:dyDescent="0.25">
      <c r="A28" s="161" t="s">
        <v>61</v>
      </c>
      <c r="B28" s="165" t="s">
        <v>62</v>
      </c>
      <c r="D28" s="163">
        <f>D$26*'Value of Statistical Life'!D18*Appropriate_Crash_Reduction_Factor</f>
        <v>0</v>
      </c>
      <c r="E28" s="163">
        <f>E$26*'Value of Statistical Life'!E18*Appropriate_Crash_Reduction_Factor</f>
        <v>6.1431804084576047E-2</v>
      </c>
      <c r="F28" s="163">
        <f>F$26*'Value of Statistical Life'!F18*Appropriate_Crash_Reduction_Factor</f>
        <v>0.48032617859768278</v>
      </c>
      <c r="G28" s="163">
        <f>G$26*'Value of Statistical Life'!G18*Appropriate_Crash_Reduction_Factor</f>
        <v>1.0758745656584989</v>
      </c>
      <c r="H28" s="163">
        <f>H$26*'Value of Statistical Life'!H18*Appropriate_Crash_Reduction_Factor</f>
        <v>0.87808009075774374</v>
      </c>
      <c r="I28" s="163">
        <f>I$26*'Value of Statistical Life'!I18*Appropriate_Crash_Reduction_Factor</f>
        <v>0.43822691583874562</v>
      </c>
      <c r="J28" s="163">
        <f t="shared" si="9"/>
        <v>2.9339395549372469</v>
      </c>
      <c r="K28" s="164"/>
      <c r="L28" s="136"/>
      <c r="M28" s="137">
        <f t="shared" si="1"/>
        <v>2042</v>
      </c>
      <c r="N28" s="145">
        <f t="shared" si="6"/>
        <v>51960.605698944877</v>
      </c>
      <c r="O28" s="146">
        <f t="shared" si="7"/>
        <v>9.6376017356103461E-3</v>
      </c>
      <c r="P28" s="147">
        <f t="shared" si="8"/>
        <v>0.96726120732652077</v>
      </c>
      <c r="Q28" s="148">
        <f t="shared" si="4"/>
        <v>1</v>
      </c>
      <c r="R28" s="37">
        <f>IF(M28=Year_Open_to_Traffic?,Calculations!$J$5,Calculations!R27+(Calculations!R27*Calculations!O28*Q28))</f>
        <v>1440327.2268873283</v>
      </c>
      <c r="S28" s="54">
        <f t="shared" si="0"/>
        <v>1</v>
      </c>
      <c r="T28" s="37">
        <f t="shared" si="5"/>
        <v>1440.3272268873284</v>
      </c>
      <c r="U28" s="142">
        <f>T28/(1+Real_Discount_Rate)^(Calculations!M28-'Assumed Values'!$C$5)</f>
        <v>283.95564440105989</v>
      </c>
    </row>
    <row r="29" spans="1:21" ht="15.75" x14ac:dyDescent="0.25">
      <c r="A29" s="161" t="s">
        <v>63</v>
      </c>
      <c r="B29" s="165" t="s">
        <v>64</v>
      </c>
      <c r="D29" s="163">
        <f>D$26*'Value of Statistical Life'!D19*Appropriate_Crash_Reduction_Factor</f>
        <v>0</v>
      </c>
      <c r="E29" s="163">
        <f>E$26*'Value of Statistical Life'!E19*Appropriate_Crash_Reduction_Factor</f>
        <v>2.3163919273572395E-2</v>
      </c>
      <c r="F29" s="163">
        <f>F$26*'Value of Statistical Life'!F19*Appropriate_Crash_Reduction_Factor</f>
        <v>6.8120644617695125E-2</v>
      </c>
      <c r="G29" s="163">
        <f>G$26*'Value of Statistical Life'!G19*Appropriate_Crash_Reduction_Factor</f>
        <v>9.972898136401627E-2</v>
      </c>
      <c r="H29" s="163">
        <f>H$26*'Value of Statistical Life'!H19*Appropriate_Crash_Reduction_Factor</f>
        <v>2.3957538648206319E-2</v>
      </c>
      <c r="I29" s="163">
        <f>I$26*'Value of Statistical Life'!I19*Appropriate_Crash_Reduction_Factor</f>
        <v>9.3149073943346775E-2</v>
      </c>
      <c r="J29" s="163">
        <f t="shared" si="9"/>
        <v>0.30812015784683688</v>
      </c>
      <c r="K29" s="164"/>
      <c r="L29" s="136"/>
      <c r="M29" s="144">
        <f t="shared" si="1"/>
        <v>2043</v>
      </c>
      <c r="N29" s="145">
        <f t="shared" si="6"/>
        <v>52461.381322612397</v>
      </c>
      <c r="O29" s="146">
        <f t="shared" si="7"/>
        <v>9.6376017356103461E-3</v>
      </c>
      <c r="P29" s="147">
        <f t="shared" si="8"/>
        <v>0.97658328561703944</v>
      </c>
      <c r="Q29" s="148">
        <f t="shared" si="4"/>
        <v>1</v>
      </c>
      <c r="R29" s="37">
        <f>IF(M29=Year_Open_to_Traffic?,Calculations!$J$5,Calculations!R28+(Calculations!R28*Calculations!O29*Q29))</f>
        <v>1454208.5270690245</v>
      </c>
      <c r="S29" s="54">
        <f t="shared" si="0"/>
        <v>1</v>
      </c>
      <c r="T29" s="37">
        <f t="shared" si="5"/>
        <v>1454.2085270690245</v>
      </c>
      <c r="U29" s="142">
        <f>T29/(1+Real_Discount_Rate)^(Calculations!M29-'Assumed Values'!$C$5)</f>
        <v>267.93672505829522</v>
      </c>
    </row>
    <row r="30" spans="1:21" ht="15.75" x14ac:dyDescent="0.25">
      <c r="A30" s="161" t="s">
        <v>65</v>
      </c>
      <c r="B30" s="165" t="s">
        <v>66</v>
      </c>
      <c r="D30" s="163">
        <f>D$26*'Value of Statistical Life'!D20*Appropriate_Crash_Reduction_Factor</f>
        <v>0</v>
      </c>
      <c r="E30" s="163">
        <f>E$26*'Value of Statistical Life'!E20*Appropriate_Crash_Reduction_Factor</f>
        <v>1.599471506373468E-2</v>
      </c>
      <c r="F30" s="163">
        <f>F$26*'Value of Statistical Life'!F20*Appropriate_Crash_Reduction_Factor</f>
        <v>1.9946134793087281E-2</v>
      </c>
      <c r="G30" s="163">
        <f>G$26*'Value of Statistical Life'!G20*Appropriate_Crash_Reduction_Factor</f>
        <v>1.6712523711604043E-2</v>
      </c>
      <c r="H30" s="163">
        <f>H$26*'Value of Statistical Life'!H20*Appropriate_Crash_Reduction_Factor</f>
        <v>9.6798135952348761E-4</v>
      </c>
      <c r="I30" s="163">
        <f>I$26*'Value of Statistical Life'!I20*Appropriate_Crash_Reduction_Factor</f>
        <v>5.0574739538446961E-2</v>
      </c>
      <c r="J30" s="163">
        <f t="shared" si="9"/>
        <v>0.10419609446639645</v>
      </c>
      <c r="K30" s="164"/>
      <c r="L30" s="136"/>
      <c r="M30" s="144">
        <f t="shared" si="1"/>
        <v>2044</v>
      </c>
      <c r="N30" s="145">
        <f t="shared" si="6"/>
        <v>52966.983222299721</v>
      </c>
      <c r="O30" s="146">
        <f t="shared" si="7"/>
        <v>9.6376017356103461E-3</v>
      </c>
      <c r="P30" s="147">
        <f t="shared" si="8"/>
        <v>0.98599520638547022</v>
      </c>
      <c r="Q30" s="148">
        <f t="shared" si="4"/>
        <v>1</v>
      </c>
      <c r="R30" s="37">
        <f>IF(M30=Year_Open_to_Traffic?,Calculations!$J$5,Calculations!R29+(Calculations!R29*Calculations!O30*Q30))</f>
        <v>1468223.6096934443</v>
      </c>
      <c r="S30" s="54">
        <f t="shared" si="0"/>
        <v>1</v>
      </c>
      <c r="T30" s="37">
        <f t="shared" si="5"/>
        <v>1468.2236096934444</v>
      </c>
      <c r="U30" s="142">
        <f>T30/(1+Real_Discount_Rate)^(Calculations!M30-'Assumed Values'!$C$5)</f>
        <v>252.82148832219704</v>
      </c>
    </row>
    <row r="31" spans="1:21" ht="15.75" x14ac:dyDescent="0.25">
      <c r="A31" s="161" t="s">
        <v>67</v>
      </c>
      <c r="B31" s="165" t="s">
        <v>68</v>
      </c>
      <c r="D31" s="163">
        <f>D$26*'Value of Statistical Life'!D21*Appropriate_Crash_Reduction_Factor</f>
        <v>0</v>
      </c>
      <c r="E31" s="163">
        <f>E$26*'Value of Statistical Life'!E21*Appropriate_Crash_Reduction_Factor</f>
        <v>4.4160791192108077E-3</v>
      </c>
      <c r="F31" s="163">
        <f>F$26*'Value of Statistical Life'!F21*Appropriate_Crash_Reduction_Factor</f>
        <v>3.8754633568518059E-3</v>
      </c>
      <c r="G31" s="163">
        <f>G$26*'Value of Statistical Life'!G21*Appropriate_Crash_Reduction_Factor</f>
        <v>2.2158528170380712E-3</v>
      </c>
      <c r="H31" s="163">
        <f>H$26*'Value of Statistical Life'!H21*Appropriate_Crash_Reduction_Factor</f>
        <v>0</v>
      </c>
      <c r="I31" s="163">
        <f>I$26*'Value of Statistical Life'!I21*Appropriate_Crash_Reduction_Factor</f>
        <v>6.4780183299194055E-3</v>
      </c>
      <c r="J31" s="163">
        <f t="shared" si="9"/>
        <v>1.6985413623020092E-2</v>
      </c>
      <c r="K31" s="164"/>
      <c r="L31" s="136"/>
      <c r="M31" s="144">
        <f t="shared" si="1"/>
        <v>2045</v>
      </c>
      <c r="N31" s="145">
        <f t="shared" si="6"/>
        <v>53477.457911732999</v>
      </c>
      <c r="O31" s="146">
        <f t="shared" si="7"/>
        <v>9.6376017356103461E-3</v>
      </c>
      <c r="P31" s="147">
        <f t="shared" si="8"/>
        <v>0.99549783549783433</v>
      </c>
      <c r="Q31" s="148">
        <f t="shared" si="4"/>
        <v>1</v>
      </c>
      <c r="R31" s="37">
        <f>IF(M31=Year_Open_to_Traffic?,Calculations!$J$5,Calculations!R30+(Calculations!R30*Calculations!O31*Q31))</f>
        <v>1482373.7641024899</v>
      </c>
      <c r="S31" s="54">
        <f t="shared" si="0"/>
        <v>1</v>
      </c>
      <c r="T31" s="37">
        <f t="shared" si="5"/>
        <v>1482.37376410249</v>
      </c>
      <c r="U31" s="142">
        <f>T31/(1+Real_Discount_Rate)^(Calculations!M31-'Assumed Values'!$C$5)</f>
        <v>238.55895433350523</v>
      </c>
    </row>
    <row r="32" spans="1:21" ht="15.75" x14ac:dyDescent="0.25">
      <c r="A32" s="161" t="s">
        <v>69</v>
      </c>
      <c r="B32" s="165" t="s">
        <v>70</v>
      </c>
      <c r="D32" s="163">
        <f>D$26*'Value of Statistical Life'!D22*Appropriate_Crash_Reduction_Factor</f>
        <v>0</v>
      </c>
      <c r="E32" s="163">
        <f>E$26*'Value of Statistical Life'!E22*Appropriate_Crash_Reduction_Factor</f>
        <v>1.9753811012425664E-3</v>
      </c>
      <c r="F32" s="163">
        <f>F$26*'Value of Statistical Life'!F22*Appropriate_Crash_Reduction_Factor</f>
        <v>6.313254823258588E-4</v>
      </c>
      <c r="G32" s="163">
        <f>G$26*'Value of Statistical Life'!G22*Appropriate_Crash_Reduction_Factor</f>
        <v>2.0285976494010508E-4</v>
      </c>
      <c r="H32" s="163">
        <f>H$26*'Value of Statistical Life'!H22*Appropriate_Crash_Reduction_Factor</f>
        <v>3.6299300982130787E-4</v>
      </c>
      <c r="I32" s="163">
        <f>I$26*'Value of Statistical Life'!I22*Appropriate_Crash_Reduction_Factor</f>
        <v>2.9292821945664732E-3</v>
      </c>
      <c r="J32" s="163">
        <f t="shared" si="9"/>
        <v>6.1018415528963114E-3</v>
      </c>
      <c r="K32" s="164"/>
      <c r="L32" s="136"/>
      <c r="M32" s="144">
        <f t="shared" si="1"/>
        <v>2046</v>
      </c>
      <c r="N32" s="145">
        <f t="shared" si="6"/>
        <v>53992.852352919144</v>
      </c>
      <c r="O32" s="146">
        <f t="shared" si="7"/>
        <v>9.6376017356103461E-3</v>
      </c>
      <c r="P32" s="147">
        <f t="shared" si="8"/>
        <v>1.0050920471650246</v>
      </c>
      <c r="Q32" s="148">
        <f t="shared" si="4"/>
        <v>0</v>
      </c>
      <c r="R32" s="37">
        <f>IF(M32=Year_Open_to_Traffic?,Calculations!$J$5,Calculations!R31+(Calculations!R31*Calculations!O32*Q32))</f>
        <v>1482373.7641024899</v>
      </c>
      <c r="S32" s="54">
        <f t="shared" si="0"/>
        <v>1</v>
      </c>
      <c r="T32" s="37">
        <f t="shared" si="5"/>
        <v>1482.37376410249</v>
      </c>
      <c r="U32" s="142">
        <f>T32/(1+Real_Discount_Rate)^(Calculations!M32-'Assumed Values'!$C$5)</f>
        <v>222.9522937696311</v>
      </c>
    </row>
    <row r="33" spans="1:21" ht="15.75" x14ac:dyDescent="0.25">
      <c r="A33" s="161" t="s">
        <v>71</v>
      </c>
      <c r="B33" s="165" t="s">
        <v>272</v>
      </c>
      <c r="D33" s="163">
        <f>D$26*'Value of Statistical Life'!D23*Appropriate_Crash_Reduction_Factor</f>
        <v>2.19175622489074E-2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2.19175622489074E-2</v>
      </c>
      <c r="K33" s="164"/>
      <c r="L33" s="136"/>
      <c r="M33" s="144">
        <f t="shared" si="1"/>
        <v>2047</v>
      </c>
      <c r="N33" s="145">
        <f t="shared" si="6"/>
        <v>54513.213960466193</v>
      </c>
      <c r="O33" s="146">
        <f t="shared" si="7"/>
        <v>9.6376017356103461E-3</v>
      </c>
      <c r="P33" s="147">
        <f t="shared" si="8"/>
        <v>1.0147787240232304</v>
      </c>
      <c r="Q33" s="148">
        <f t="shared" si="4"/>
        <v>0</v>
      </c>
      <c r="R33" s="37">
        <f>IF(M33=Year_Open_to_Traffic?,Calculations!$J$5,Calculations!R32+(Calculations!R32*Calculations!O33*Q33))</f>
        <v>1482373.7641024899</v>
      </c>
      <c r="S33" s="54">
        <f t="shared" si="0"/>
        <v>1</v>
      </c>
      <c r="T33" s="37">
        <f t="shared" si="5"/>
        <v>1482.37376410249</v>
      </c>
      <c r="U33" s="142">
        <f>T33/(1+Real_Discount_Rate)^(Calculations!M33-'Assumed Values'!$C$5)</f>
        <v>208.36662969124401</v>
      </c>
    </row>
    <row r="34" spans="1:21" ht="15.75" x14ac:dyDescent="0.25">
      <c r="J34" s="166"/>
      <c r="L34" s="136"/>
      <c r="M34" s="144">
        <f t="shared" si="1"/>
        <v>2048</v>
      </c>
      <c r="N34" s="145">
        <f t="shared" si="6"/>
        <v>55038.590605945283</v>
      </c>
      <c r="O34" s="146">
        <f t="shared" si="7"/>
        <v>9.6376017356103461E-3</v>
      </c>
      <c r="P34" s="147">
        <f t="shared" si="8"/>
        <v>1.0245587572151371</v>
      </c>
      <c r="Q34" s="148">
        <f t="shared" si="4"/>
        <v>0</v>
      </c>
      <c r="R34" s="37">
        <f>IF(M34=Year_Open_to_Traffic?,Calculations!$J$5,Calculations!R33+(Calculations!R33*Calculations!O34*Q34))</f>
        <v>1482373.7641024899</v>
      </c>
      <c r="S34" s="54">
        <f t="shared" si="0"/>
        <v>1</v>
      </c>
      <c r="T34" s="37">
        <f t="shared" si="5"/>
        <v>1482.37376410249</v>
      </c>
      <c r="U34" s="142">
        <f>T34/(1+Real_Discount_Rate)^(Calculations!M34-'Assumed Values'!$C$5)</f>
        <v>194.73516793574208</v>
      </c>
    </row>
    <row r="35" spans="1:21" ht="15.75" x14ac:dyDescent="0.25">
      <c r="G35" s="167"/>
      <c r="H35" s="167"/>
      <c r="L35" s="136"/>
      <c r="M35" s="144">
        <f t="shared" si="1"/>
        <v>2049</v>
      </c>
      <c r="N35" s="145">
        <f t="shared" si="6"/>
        <v>55569.030622294689</v>
      </c>
      <c r="O35" s="146">
        <f t="shared" si="7"/>
        <v>9.6376017356103461E-3</v>
      </c>
      <c r="P35" s="147">
        <f t="shared" si="8"/>
        <v>1.0344330464719085</v>
      </c>
      <c r="Q35" s="148">
        <f t="shared" si="4"/>
        <v>0</v>
      </c>
      <c r="R35" s="37">
        <f>IF(M35=Year_Open_to_Traffic?,Calculations!$J$5,Calculations!R34+(Calculations!R34*Calculations!O35*Q35))</f>
        <v>1482373.7641024899</v>
      </c>
      <c r="S35" s="54">
        <f t="shared" si="0"/>
        <v>1</v>
      </c>
      <c r="T35" s="37">
        <f t="shared" si="5"/>
        <v>1482.37376410249</v>
      </c>
      <c r="U35" s="142">
        <f>T35/(1+Real_Discount_Rate)^(Calculations!M35-'Assumed Values'!$C$5)</f>
        <v>181.99548405209535</v>
      </c>
    </row>
    <row r="36" spans="1:21" ht="15.75" x14ac:dyDescent="0.25">
      <c r="G36" s="167"/>
      <c r="H36" s="167"/>
      <c r="L36" s="136"/>
      <c r="M36" s="144">
        <f t="shared" si="1"/>
        <v>2050</v>
      </c>
      <c r="N36" s="145">
        <f t="shared" si="6"/>
        <v>56104.582808266299</v>
      </c>
      <c r="O36" s="146">
        <f t="shared" si="7"/>
        <v>9.6376017356103461E-3</v>
      </c>
      <c r="P36" s="147">
        <f t="shared" si="8"/>
        <v>1.0444025001959589</v>
      </c>
      <c r="Q36" s="148">
        <f t="shared" si="4"/>
        <v>0</v>
      </c>
      <c r="R36" s="37">
        <f>IF(M36=Year_Open_to_Traffic?,Calculations!$J$5,Calculations!R35+(Calculations!R35*Calculations!O36*Q36))</f>
        <v>1482373.7641024899</v>
      </c>
      <c r="S36" s="54">
        <f t="shared" si="0"/>
        <v>1</v>
      </c>
      <c r="T36" s="37">
        <f t="shared" si="5"/>
        <v>1482.37376410249</v>
      </c>
      <c r="U36" s="142">
        <f>T36/(1+Real_Discount_Rate)^(Calculations!M36-'Assumed Values'!$C$5)</f>
        <v>170.08923743186486</v>
      </c>
    </row>
    <row r="37" spans="1:21" x14ac:dyDescent="0.25">
      <c r="M37" s="165"/>
      <c r="N37" s="165"/>
      <c r="O37" s="168"/>
      <c r="P37" s="169"/>
      <c r="Q37" s="170"/>
      <c r="R37" s="165"/>
      <c r="S37" s="165"/>
      <c r="T37" s="165"/>
      <c r="U37" s="142">
        <f>SUM(U4:U36)</f>
        <v>12256.503466834049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D52" sqref="D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zoomScale="85" zoomScaleNormal="85" workbookViewId="0">
      <selection activeCell="M47" sqref="M47"/>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F43" sqref="F43"/>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41</vt:i4>
      </vt:variant>
    </vt:vector>
  </HeadingPairs>
  <TitlesOfParts>
    <vt:vector size="51" baseType="lpstr">
      <vt:lpstr>Instructions</vt:lpstr>
      <vt:lpstr>ITS Delay Worksheet</vt:lpstr>
      <vt:lpstr>Emissions Reduction Worksheet</vt:lpstr>
      <vt:lpstr>Inputs &amp; Outputs</vt:lpstr>
      <vt:lpstr>Narrative</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Mohammad Huq, P.E., PTOE</cp:lastModifiedBy>
  <cp:lastPrinted>2018-08-02T18:58:13Z</cp:lastPrinted>
  <dcterms:created xsi:type="dcterms:W3CDTF">2012-07-25T15:48:32Z</dcterms:created>
  <dcterms:modified xsi:type="dcterms:W3CDTF">2018-10-29T17:46:30Z</dcterms:modified>
</cp:coreProperties>
</file>