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19320" windowHeight="11640" tabRatio="763" firstSheet="3" activeTab="4"/>
  </bookViews>
  <sheets>
    <sheet name="Instructions" sheetId="8" r:id="rId1"/>
    <sheet name="ITS Delay Worksheet" sheetId="7" state="hidden" r:id="rId2"/>
    <sheet name="Emissions Reduction Worksheet" sheetId="5" state="hidden" r:id="rId3"/>
    <sheet name="Inputs &amp; Outputs" sheetId="11" r:id="rId4"/>
    <sheet name="Narrative" sheetId="17" r:id="rId5"/>
    <sheet name="Calculations" sheetId="12" r:id="rId6"/>
    <sheet name="Assumed Values" sheetId="2" r:id="rId7"/>
    <sheet name="CRASH RATES" sheetId="15" r:id="rId8"/>
    <sheet name="Value of Statistical Life" sheetId="9" r:id="rId9"/>
    <sheet name="CRF Lookup Table" sheetId="16" r:id="rId10"/>
  </sheets>
  <externalReferences>
    <externalReference r:id="rId11"/>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6">'Assumed Values'!$B$2:$C$30</definedName>
    <definedName name="_xlnm.Print_Area" localSheetId="5">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45621"/>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8" i="12" l="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<sst xmlns="http://schemas.openxmlformats.org/spreadsheetml/2006/main" count="447" uniqueCount="292">
  <si>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</si>
  <si>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</si>
  <si>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</si>
  <si>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</si>
  <si>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</si>
  <si>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</si>
  <si>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</si>
  <si>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</si>
  <si>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</si>
  <si>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</si>
  <si>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</si>
  <si>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</si>
  <si>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</si>
  <si>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</si>
  <si>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</si>
  <si>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</si>
  <si>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</si>
  <si>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</si>
  <si>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</si>
  <si>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</si>
  <si>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</si>
  <si>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</si>
  <si>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</si>
  <si>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</si>
  <si>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</si>
  <si>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</si>
  <si>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</si>
  <si>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</si>
  <si>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</si>
  <si>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</si>
  <si>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</si>
  <si>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</si>
  <si>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</si>
  <si>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</si>
  <si>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</si>
  <si>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</si>
  <si>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</si>
  <si>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</si>
  <si>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</si>
  <si>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</si>
  <si>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</si>
  <si>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</si>
  <si>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</si>
  <si>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</si>
  <si>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</si>
  <si>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</si>
  <si>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</si>
  <si>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</si>
  <si>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</si>
  <si>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</si>
  <si>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</si>
  <si>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</si>
  <si>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</si>
  <si>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</si>
  <si>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</si>
  <si>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</si>
  <si>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</si>
  <si>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</si>
  <si>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</si>
  <si>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</si>
  <si>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</si>
  <si>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</si>
  <si>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</si>
  <si>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</si>
  <si>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</si>
  <si>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</si>
  <si>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</si>
  <si>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</si>
  <si>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</si>
  <si>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</si>
  <si>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</si>
  <si>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</si>
  <si>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</si>
  <si>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</si>
  <si>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</si>
  <si>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</si>
  <si>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</si>
  <si>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</si>
  <si>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</si>
  <si>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</si>
  <si>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</si>
  <si>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</si>
  <si>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</si>
  <si>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</si>
  <si>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</si>
  <si>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</si>
  <si>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</si>
  <si>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</si>
  <si>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</si>
  <si>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</si>
  <si>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</si>
  <si>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</si>
  <si>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</si>
  <si>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</si>
  <si>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</si>
  <si>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</si>
  <si>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</si>
  <si>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</si>
  <si>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</si>
  <si>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</si>
  <si>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</si>
  <si>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</si>
  <si>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</si>
  <si>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</si>
  <si>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</si>
  <si>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</si>
  <si>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</si>
  <si>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</si>
  <si>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</si>
  <si>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</si>
  <si>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</si>
  <si>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</si>
  <si>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</si>
  <si>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</si>
  <si>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</si>
  <si>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</si>
  <si>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</si>
  <si>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</si>
  <si>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</si>
  <si>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</si>
  <si>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</si>
  <si>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</si>
  <si>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</si>
  <si>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</si>
  <si>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</si>
  <si>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</si>
  <si>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</si>
  <si>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</si>
  <si>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</si>
  <si>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</si>
  <si>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</si>
  <si>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</si>
  <si>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</si>
  <si>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</si>
  <si>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</si>
  <si>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</si>
  <si>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</si>
  <si>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</si>
  <si>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</si>
  <si>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</si>
  <si>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</si>
  <si>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</si>
  <si>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</si>
  <si>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</si>
  <si>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</si>
  <si>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</si>
  <si>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</si>
  <si>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</si>
  <si>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</si>
  <si>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</si>
  <si>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</si>
  <si>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</si>
  <si>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</si>
  <si>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</si>
  <si>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</si>
  <si>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</si>
  <si>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</si>
  <si>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</si>
  <si>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</si>
  <si>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</si>
  <si>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</si>
  <si>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</si>
  <si>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</si>
  <si>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</si>
  <si>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</si>
  <si>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</si>
  <si>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</si>
  <si>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</si>
  <si>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</si>
  <si>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</si>
  <si>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</si>
  <si>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</si>
  <si>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</si>
  <si>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</si>
  <si>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</si>
  <si>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</si>
  <si>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</si>
  <si>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</si>
  <si>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</si>
  <si>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</si>
  <si>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</si>
  <si>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</si>
  <si>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</si>
  <si>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</si>
  <si>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</si>
  <si>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</si>
  <si>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</si>
  <si>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</si>
  <si>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</si>
  <si>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</si>
  <si>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</si>
  <si>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</si>
  <si>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</si>
  <si>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</si>
  <si>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</si>
  <si>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</si>
  <si>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</si>
  <si>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</si>
  <si>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</si>
  <si>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</si>
  <si>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</si>
  <si>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</si>
  <si>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</si>
  <si>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</si>
  <si>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</si>
  <si>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</si>
  <si>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</si>
  <si>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</si>
  <si>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</si>
  <si>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</si>
  <si>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</si>
  <si>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</si>
  <si>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</si>
  <si>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</si>
  <si>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</si>
  <si>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</si>
  <si>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</si>
  <si>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</si>
  <si>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</si>
  <si>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</si>
  <si>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</si>
  <si>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</si>
  <si>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</si>
  <si>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</si>
  <si>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</si>
  <si>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</si>
  <si>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</si>
  <si>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</si>
  <si>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</si>
  <si>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</si>
  <si>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</si>
  <si>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</si>
  <si>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</si>
  <si>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</si>
  <si>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</si>
  <si>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</si>
  <si>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</si>
  <si>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</si>
  <si>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</si>
  <si>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</si>
  <si>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</si>
  <si>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</si>
  <si>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</si>
  <si>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</si>
  <si>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</si>
  <si>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</si>
  <si>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</si>
  <si>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</si>
  <si>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</si>
  <si>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</si>
  <si>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</si>
  <si>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</si>
  <si>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</si>
  <si>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</si>
  <si>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</si>
  <si>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</si>
  <si>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</si>
  <si>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</si>
  <si>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</si>
  <si>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</si>
  <si>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</si>
  <si>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</si>
  <si>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</si>
  <si>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</si>
  <si>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</si>
  <si>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</si>
  <si>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</si>
  <si>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</si>
  <si>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</si>
  <si>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</si>
  <si>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</si>
  <si>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</si>
  <si>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</si>
  <si>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</si>
  <si>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</si>
  <si>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</si>
  <si>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</si>
  <si>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</si>
  <si>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</si>
  <si>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</si>
  <si>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</si>
  <si>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Greenhouse Rd</t>
  </si>
  <si>
    <t>Mound Rd.</t>
  </si>
  <si>
    <t>US 290</t>
  </si>
  <si>
    <t>Greenhouse Rd./Skinner Rd. Underpass @ US 290/UPRR</t>
  </si>
  <si>
    <t>Criteria used in Safety Benefits Spreadsheet</t>
  </si>
  <si>
    <t>Add Through Lane:</t>
  </si>
  <si>
    <t>Similarly, 2025 Peak Period Roadway Capacity (68,824) and 2045 Peak Period Roadway Capacity (68,824) were estimated from 2025 and 2045 Build conditions model data (that includes Greenhouse Road extension) provided by H-GAC.</t>
  </si>
  <si>
    <t>This is the second major type of improvement proposed in this project for safety benefits, Add Through Lanes.</t>
  </si>
  <si>
    <t>AMVOL_T and PMVOL_T were extracted from H-GAC Build condition model (Year 2025) for Fry Road, Barker Cypress Road and proposed Greenhouse Road. These volumes are added to obtain 2025 Peak Period Traffic Volume (50,781).</t>
  </si>
  <si>
    <t>AMVOL_T and PMVOL_T were extracted from H-GAC Build condition model (Year 2045) for Fry Road, Barker Cypress Road and proposed Greenhouse Road. All of these volumes are added to obtain 2045 Peak Period Traffic Volume (63,543).</t>
  </si>
  <si>
    <t>PKCAP (Capacity/hour/direction) were extracted from H-GAC base year model (Year 2017) for Fry Road and Barker Cypress Road. For each roadway segment, this PKCAP was multiplied by total peak period (3 hr in the morning and 4 hr in the afternoon) and by 2 for both directions. The aggregate capacity for Fry Road and Barker Cypress Road was utilized as the 2018 Peak Period Roadway Capacity (45,724).</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</si>
</sst>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
      <sz val="12"/>
      <color theme="1"/>
      <name val="Calibri"/>
      <family val="2"/>
      <scheme val="minor"/>
    </font>
    <font>
      <b/>
      <u/>
      <sz val="12"/>
      <color theme="1"/>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3">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xf numFmtId="0" fontId="20" fillId="0" borderId="0" xfId="0" applyFont="1" applyAlignment="1">
      <alignment vertical="center" wrapText="1"/>
    </xf>
    <xf numFmtId="0" fontId="21" fillId="0" borderId="0" xfId="0" applyFont="1"/>
    <xf numFmtId="0" fontId="21" fillId="0" borderId="0" xfId="0" applyFont="1" applyAlignment="1">
      <alignment horizontal="justify" vertic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moser.tamu.edu/docs/Texas.Guide.to.Accepted.Mobile.Source.Emission.Reduction.Strategies_August.2007.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22"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topLeftCell="A4"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9" t="s">
        <v>34</v>
      </c>
      <c r="E6" s="180"/>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9" t="s">
        <v>34</v>
      </c>
      <c r="E6" s="180"/>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9" t="s">
        <v>35</v>
      </c>
      <c r="E8" s="180"/>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opLeftCell="A13" zoomScale="85" zoomScaleNormal="85" workbookViewId="0">
      <selection activeCell="F40" sqref="F40"/>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45" x14ac:dyDescent="0.25">
      <c r="B6" s="4" t="s">
        <v>166</v>
      </c>
      <c r="C6" s="178" t="s">
        <v>284</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281</v>
      </c>
      <c r="D9" s="64"/>
      <c r="E9" s="122"/>
      <c r="F9" t="s">
        <v>268</v>
      </c>
    </row>
    <row r="10" spans="2:19" x14ac:dyDescent="0.25">
      <c r="B10" s="4" t="s">
        <v>114</v>
      </c>
      <c r="C10" s="121" t="s">
        <v>282</v>
      </c>
      <c r="D10" s="64"/>
      <c r="E10" s="9"/>
      <c r="F10" t="s">
        <v>258</v>
      </c>
    </row>
    <row r="11" spans="2:19" x14ac:dyDescent="0.25">
      <c r="B11" s="4" t="s">
        <v>115</v>
      </c>
      <c r="C11" s="121" t="s">
        <v>283</v>
      </c>
      <c r="D11" s="64"/>
    </row>
    <row r="12" spans="2:19" x14ac:dyDescent="0.25">
      <c r="B12" s="4" t="s">
        <v>116</v>
      </c>
      <c r="C12" s="121">
        <v>0.25</v>
      </c>
      <c r="D12" s="95"/>
      <c r="N12" s="181"/>
      <c r="O12" s="181"/>
      <c r="P12" s="181"/>
      <c r="Q12" s="181"/>
      <c r="R12" s="181"/>
      <c r="S12" s="181"/>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2022</v>
      </c>
      <c r="D17" s="96"/>
    </row>
    <row r="18" spans="2:13" x14ac:dyDescent="0.25">
      <c r="B18" s="4" t="s">
        <v>259</v>
      </c>
      <c r="C18" s="120" t="s">
        <v>176</v>
      </c>
      <c r="D18" s="26"/>
    </row>
    <row r="19" spans="2:13" x14ac:dyDescent="0.25">
      <c r="B19" s="122" t="s">
        <v>251</v>
      </c>
      <c r="C19" s="174">
        <f>VLOOKUP(C18,'CRF Lookup Table'!C3:F84,2, FALSE)</f>
        <v>517</v>
      </c>
      <c r="D19" s="97"/>
    </row>
    <row r="20" spans="2:13" x14ac:dyDescent="0.25">
      <c r="B20" s="122" t="s">
        <v>102</v>
      </c>
      <c r="C20" s="175">
        <f>VLOOKUP(C18,'CRF Lookup Table'!C3:F84,3, FALSE)</f>
        <v>0.28000000000000003</v>
      </c>
      <c r="D20" s="98"/>
      <c r="F20" s="68"/>
    </row>
    <row r="21" spans="2:13" x14ac:dyDescent="0.25">
      <c r="B21" s="122" t="s">
        <v>101</v>
      </c>
      <c r="C21" s="176">
        <f>VLOOKUP(C18,'CRF Lookup Table'!C3:F84,4, FALSE)</f>
        <v>20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41450</v>
      </c>
      <c r="D25" s="99"/>
      <c r="I25" s="49"/>
    </row>
    <row r="26" spans="2:13" x14ac:dyDescent="0.25">
      <c r="I26" s="49"/>
    </row>
    <row r="27" spans="2:13" x14ac:dyDescent="0.25">
      <c r="B27" s="86" t="s">
        <v>269</v>
      </c>
      <c r="C27" s="87">
        <v>23276</v>
      </c>
      <c r="D27" s="99"/>
      <c r="I27" s="49"/>
    </row>
    <row r="28" spans="2:13" x14ac:dyDescent="0.25">
      <c r="B28" s="86" t="s">
        <v>150</v>
      </c>
      <c r="C28" s="87">
        <v>45724</v>
      </c>
      <c r="D28" s="99"/>
      <c r="I28" s="49"/>
    </row>
    <row r="29" spans="2:13" x14ac:dyDescent="0.25">
      <c r="B29" s="86" t="s">
        <v>270</v>
      </c>
      <c r="C29" s="88">
        <v>50781</v>
      </c>
      <c r="D29" s="69"/>
      <c r="I29" s="49"/>
    </row>
    <row r="30" spans="2:13" x14ac:dyDescent="0.25">
      <c r="B30" s="86" t="s">
        <v>151</v>
      </c>
      <c r="C30" s="88">
        <v>68824</v>
      </c>
      <c r="D30" s="69"/>
      <c r="I30" s="49"/>
    </row>
    <row r="31" spans="2:13" x14ac:dyDescent="0.25">
      <c r="B31" s="86" t="s">
        <v>271</v>
      </c>
      <c r="C31" s="87">
        <v>63543</v>
      </c>
      <c r="D31" s="99"/>
      <c r="H31" s="70"/>
    </row>
    <row r="32" spans="2:13" x14ac:dyDescent="0.25">
      <c r="B32" s="86" t="s">
        <v>152</v>
      </c>
      <c r="C32" s="87">
        <v>68824</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7644.3816172024644</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2"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38"/>
  <sheetViews>
    <sheetView tabSelected="1" topLeftCell="B1" zoomScaleNormal="100" workbookViewId="0">
      <selection activeCell="B9" sqref="B9"/>
    </sheetView>
  </sheetViews>
  <sheetFormatPr defaultRowHeight="15" x14ac:dyDescent="0.25"/>
  <cols>
    <col min="2" max="2" width="175.140625" customWidth="1"/>
    <col min="3" max="3" width="9.140625" customWidth="1"/>
  </cols>
  <sheetData>
    <row r="2" spans="1:55" ht="15.75" x14ac:dyDescent="0.25">
      <c r="B2" s="191" t="s">
        <v>285</v>
      </c>
    </row>
    <row r="3" spans="1:55" ht="39.950000000000003" customHeight="1" x14ac:dyDescent="0.25">
      <c r="A3" s="190"/>
      <c r="B3" s="190" t="s">
        <v>288</v>
      </c>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row>
    <row r="4" spans="1:55" ht="30" customHeight="1" x14ac:dyDescent="0.25">
      <c r="A4" s="190"/>
      <c r="B4" s="192" t="s">
        <v>286</v>
      </c>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row>
    <row r="5" spans="1:55" ht="39.950000000000003" customHeight="1" x14ac:dyDescent="0.25">
      <c r="A5" s="190"/>
      <c r="B5" s="190" t="s">
        <v>289</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row>
    <row r="6" spans="1:55" ht="39.950000000000003" customHeight="1" x14ac:dyDescent="0.25">
      <c r="A6" s="190"/>
      <c r="B6" s="190" t="s">
        <v>290</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row>
    <row r="7" spans="1:55" ht="48" customHeight="1" x14ac:dyDescent="0.25">
      <c r="A7" s="190"/>
      <c r="B7" s="190" t="s">
        <v>291</v>
      </c>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row>
    <row r="8" spans="1:55" ht="39.950000000000003" customHeight="1" x14ac:dyDescent="0.25">
      <c r="A8" s="190"/>
      <c r="B8" s="190" t="s">
        <v>287</v>
      </c>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190"/>
    </row>
    <row r="9" spans="1:55" ht="39.950000000000003" customHeight="1" x14ac:dyDescent="0.25">
      <c r="A9" s="190"/>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row>
    <row r="10" spans="1:55" ht="39.950000000000003" customHeight="1" x14ac:dyDescent="0.25">
      <c r="A10" s="190"/>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row>
    <row r="11" spans="1:55" ht="39.950000000000003" customHeight="1" x14ac:dyDescent="0.25">
      <c r="A11" s="190"/>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row>
    <row r="12" spans="1:55" ht="39.950000000000003" customHeight="1" x14ac:dyDescent="0.25">
      <c r="A12" s="190"/>
      <c r="B12" s="190"/>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row>
    <row r="13" spans="1:55" ht="39.950000000000003" customHeight="1" x14ac:dyDescent="0.25">
      <c r="A13" s="190"/>
      <c r="B13" s="190"/>
      <c r="C13" s="190"/>
      <c r="D13" s="190"/>
      <c r="E13" s="190"/>
      <c r="F13" s="190"/>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row>
    <row r="14" spans="1:55" ht="39.950000000000003" customHeight="1" x14ac:dyDescent="0.25">
      <c r="A14" s="190"/>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0"/>
      <c r="AY14" s="190"/>
      <c r="AZ14" s="190"/>
      <c r="BA14" s="190"/>
      <c r="BB14" s="190"/>
      <c r="BC14" s="190"/>
    </row>
    <row r="15" spans="1:55" ht="39.950000000000003" customHeight="1" x14ac:dyDescent="0.25">
      <c r="A15" s="190"/>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row>
    <row r="16" spans="1:55" ht="39.950000000000003" customHeight="1" x14ac:dyDescent="0.25">
      <c r="A16" s="190"/>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row>
    <row r="17" spans="1:55" ht="39.950000000000003" customHeight="1" x14ac:dyDescent="0.25">
      <c r="A17" s="190"/>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row>
    <row r="18" spans="1:55" ht="39.950000000000003" customHeight="1" x14ac:dyDescent="0.25">
      <c r="A18" s="190"/>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row>
    <row r="19" spans="1:55" ht="39.950000000000003" customHeight="1" x14ac:dyDescent="0.25">
      <c r="A19" s="190"/>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row>
    <row r="20" spans="1:55" ht="39.950000000000003" customHeight="1" x14ac:dyDescent="0.25">
      <c r="A20" s="190"/>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row>
    <row r="21" spans="1:55" ht="39.950000000000003" customHeight="1" x14ac:dyDescent="0.25">
      <c r="A21" s="190"/>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row>
    <row r="22" spans="1:55" ht="39.950000000000003" customHeight="1" x14ac:dyDescent="0.25">
      <c r="A22" s="190"/>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row>
    <row r="23" spans="1:55" ht="39.950000000000003" customHeight="1" x14ac:dyDescent="0.25">
      <c r="A23" s="190"/>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row>
    <row r="24" spans="1:55" ht="39.950000000000003" customHeight="1" x14ac:dyDescent="0.25">
      <c r="A24" s="190"/>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row>
    <row r="25" spans="1:55" ht="39.950000000000003" customHeight="1" x14ac:dyDescent="0.25">
      <c r="A25" s="190"/>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190"/>
      <c r="AU25" s="190"/>
      <c r="AV25" s="190"/>
      <c r="AW25" s="190"/>
      <c r="AX25" s="190"/>
      <c r="AY25" s="190"/>
      <c r="AZ25" s="190"/>
      <c r="BA25" s="190"/>
      <c r="BB25" s="190"/>
      <c r="BC25" s="190"/>
    </row>
    <row r="26" spans="1:55" ht="39.950000000000003" customHeight="1" x14ac:dyDescent="0.25">
      <c r="A26" s="190"/>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0"/>
      <c r="AM26" s="190"/>
      <c r="AN26" s="190"/>
      <c r="AO26" s="190"/>
      <c r="AP26" s="190"/>
      <c r="AQ26" s="190"/>
      <c r="AR26" s="190"/>
      <c r="AS26" s="190"/>
      <c r="AT26" s="190"/>
      <c r="AU26" s="190"/>
      <c r="AV26" s="190"/>
      <c r="AW26" s="190"/>
      <c r="AX26" s="190"/>
      <c r="AY26" s="190"/>
      <c r="AZ26" s="190"/>
      <c r="BA26" s="190"/>
      <c r="BB26" s="190"/>
      <c r="BC26" s="190"/>
    </row>
    <row r="27" spans="1:55" ht="39.950000000000003" customHeight="1" x14ac:dyDescent="0.25">
      <c r="A27" s="190"/>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190"/>
      <c r="AS27" s="190"/>
      <c r="AT27" s="190"/>
      <c r="AU27" s="190"/>
      <c r="AV27" s="190"/>
      <c r="AW27" s="190"/>
      <c r="AX27" s="190"/>
      <c r="AY27" s="190"/>
      <c r="AZ27" s="190"/>
      <c r="BA27" s="190"/>
      <c r="BB27" s="190"/>
      <c r="BC27" s="190"/>
    </row>
    <row r="28" spans="1:55" ht="39.950000000000003" customHeight="1" x14ac:dyDescent="0.25">
      <c r="A28" s="190"/>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190"/>
      <c r="BB28" s="190"/>
      <c r="BC28" s="190"/>
    </row>
    <row r="29" spans="1:55" ht="39.950000000000003" customHeight="1" x14ac:dyDescent="0.25">
      <c r="A29" s="190"/>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0"/>
      <c r="AS29" s="190"/>
      <c r="AT29" s="190"/>
      <c r="AU29" s="190"/>
      <c r="AV29" s="190"/>
      <c r="AW29" s="190"/>
      <c r="AX29" s="190"/>
      <c r="AY29" s="190"/>
      <c r="AZ29" s="190"/>
      <c r="BA29" s="190"/>
      <c r="BB29" s="190"/>
      <c r="BC29" s="190"/>
    </row>
    <row r="30" spans="1:55" ht="39.950000000000003" customHeight="1" x14ac:dyDescent="0.25">
      <c r="A30" s="190"/>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row>
    <row r="31" spans="1:55" ht="39.950000000000003" customHeight="1" x14ac:dyDescent="0.25">
      <c r="A31" s="190"/>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row>
    <row r="32" spans="1:55" ht="39.950000000000003" customHeight="1" x14ac:dyDescent="0.25">
      <c r="A32" s="190"/>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row>
    <row r="33" spans="1:55" ht="39.950000000000003" customHeight="1" x14ac:dyDescent="0.25">
      <c r="A33" s="190"/>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row>
    <row r="34" spans="1:55" ht="39.950000000000003" customHeight="1" x14ac:dyDescent="0.25">
      <c r="A34" s="190"/>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0"/>
      <c r="BC34" s="190"/>
    </row>
    <row r="35" spans="1:55" ht="39.950000000000003" customHeight="1" x14ac:dyDescent="0.25">
      <c r="A35" s="19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row>
    <row r="36" spans="1:55" ht="39.950000000000003" customHeight="1" x14ac:dyDescent="0.25">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row>
    <row r="37" spans="1:55" ht="39.950000000000003" customHeight="1" x14ac:dyDescent="0.25">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0"/>
      <c r="BC37" s="190"/>
    </row>
    <row r="38" spans="1:55" ht="39.950000000000003" customHeight="1" x14ac:dyDescent="0.25">
      <c r="A38" s="190"/>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c r="BC38" s="190"/>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J1" zoomScale="70" zoomScaleNormal="70" workbookViewId="0">
      <selection activeCell="N31" sqref="N31"/>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64732.216499395719</v>
      </c>
      <c r="G4" s="184" t="s">
        <v>260</v>
      </c>
      <c r="H4" s="184"/>
      <c r="I4" s="184"/>
      <c r="J4" s="184"/>
      <c r="L4" s="136"/>
      <c r="M4" s="137">
        <v>2018</v>
      </c>
      <c r="N4" s="138">
        <f>_2018_Volume_ADT</f>
        <v>41450</v>
      </c>
      <c r="O4" s="139" t="s">
        <v>85</v>
      </c>
      <c r="P4" s="140">
        <f>MIN(B12,1)</f>
        <v>0.50905432595573441</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20</v>
      </c>
      <c r="D5" s="134" t="s">
        <v>145</v>
      </c>
      <c r="E5" s="135">
        <f>$E$4*'Inputs &amp; Outputs'!$C$12</f>
        <v>16183.05412484893</v>
      </c>
      <c r="G5" s="185" t="s">
        <v>261</v>
      </c>
      <c r="H5" s="185"/>
      <c r="I5" s="185"/>
      <c r="J5" s="143">
        <f>SUMPRODUCT(Possible_Crash_Reductions,'Value of Statistical Life'!E5:E11)</f>
        <v>628022.91119093564</v>
      </c>
      <c r="L5" s="136"/>
      <c r="M5" s="144">
        <f t="shared" ref="M5:M36" si="1">M4+1</f>
        <v>2019</v>
      </c>
      <c r="N5" s="145">
        <f>N4+(N4*O5)</f>
        <v>46336.531383017493</v>
      </c>
      <c r="O5" s="146">
        <f t="shared" ref="O5:O11" si="2">IF(ISERROR(_2025_2045_Demand_Growth),_2018_2045_Demand_Growth,_2018_2025_Demand_Growth)</f>
        <v>0.1178897800486729</v>
      </c>
      <c r="P5" s="147">
        <f t="shared" ref="P5:P11" si="3">P4*(1+IFERROR(_2018_2025_V_C_Growth,_2018_2045_V_C_Growth))</f>
        <v>0.53677502991883741</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4207594.0724607222</v>
      </c>
      <c r="L6" s="136"/>
      <c r="M6" s="137">
        <f t="shared" si="1"/>
        <v>2020</v>
      </c>
      <c r="N6" s="145">
        <f t="shared" ref="N6:N36" si="6">N5+(N5*O6)</f>
        <v>51799.134875979857</v>
      </c>
      <c r="O6" s="146">
        <f t="shared" si="2"/>
        <v>0.1178897800486729</v>
      </c>
      <c r="P6" s="147">
        <f t="shared" si="3"/>
        <v>0.56600527301957038</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57905.723493220663</v>
      </c>
      <c r="O7" s="146">
        <f t="shared" si="2"/>
        <v>0.1178897800486729</v>
      </c>
      <c r="P7" s="147">
        <f t="shared" si="3"/>
        <v>0.59682725765838707</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64732.216499395719</v>
      </c>
      <c r="O8" s="146">
        <f t="shared" si="2"/>
        <v>0.1178897800486729</v>
      </c>
      <c r="P8" s="147">
        <f t="shared" si="3"/>
        <v>0.62932766259178397</v>
      </c>
      <c r="Q8" s="148">
        <f t="shared" si="4"/>
        <v>1</v>
      </c>
      <c r="R8" s="37">
        <f>IF(M8=Year_Open_to_Traffic?,Calculations!$J$5,Calculations!R7+(Calculations!R7*Calculations!O8*Q8))</f>
        <v>628022.91119093564</v>
      </c>
      <c r="S8" s="54">
        <f t="shared" si="0"/>
        <v>1</v>
      </c>
      <c r="T8" s="37">
        <f t="shared" si="5"/>
        <v>628.02291119093559</v>
      </c>
      <c r="U8" s="142">
        <f>T8/(1+Real_Discount_Rate)^(Calculations!M8-'Assumed Values'!$C$5)</f>
        <v>479.11567200371292</v>
      </c>
    </row>
    <row r="9" spans="1:21" ht="15.75" x14ac:dyDescent="0.25">
      <c r="A9" s="152" t="s">
        <v>76</v>
      </c>
      <c r="B9" s="153">
        <f>(_2025_Peak_Period_Volume/'Inputs &amp; Outputs'!$C$27)^(1/(2025-2018))-1</f>
        <v>0.1178897800486729</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72363.483264572555</v>
      </c>
      <c r="O9" s="146">
        <f t="shared" si="2"/>
        <v>0.1178897800486729</v>
      </c>
      <c r="P9" s="147">
        <f t="shared" si="3"/>
        <v>0.66359788669359321</v>
      </c>
      <c r="Q9" s="148">
        <f t="shared" si="4"/>
        <v>1</v>
      </c>
      <c r="R9" s="37">
        <f>IF(M9=Year_Open_to_Traffic?,Calculations!$J$5,Calculations!R8+(Calculations!R8*Calculations!O9*Q9))</f>
        <v>702060.39405676234</v>
      </c>
      <c r="S9" s="54">
        <f t="shared" si="0"/>
        <v>1</v>
      </c>
      <c r="T9" s="37">
        <f t="shared" si="5"/>
        <v>702.06039405676233</v>
      </c>
      <c r="U9" s="142">
        <f>T9/(1+Real_Discount_Rate)^(Calculations!M9-'Assumed Values'!$C$5)</f>
        <v>500.55935812532971</v>
      </c>
    </row>
    <row r="10" spans="1:21" ht="15.75" x14ac:dyDescent="0.25">
      <c r="A10" s="152" t="s">
        <v>106</v>
      </c>
      <c r="B10" s="153">
        <f>(_2045_Peak_Period_Volume/_2025_Peak_Period_Volume)^(1/(2045-2025))-1</f>
        <v>1.12727930933334E-2</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80894.398390188842</v>
      </c>
      <c r="O10" s="146">
        <f t="shared" si="2"/>
        <v>0.1178897800486729</v>
      </c>
      <c r="P10" s="147">
        <f t="shared" si="3"/>
        <v>0.69973430599036879</v>
      </c>
      <c r="Q10" s="148">
        <f t="shared" si="4"/>
        <v>1</v>
      </c>
      <c r="R10" s="37">
        <f>IF(M10=Year_Open_to_Traffic?,Calculations!$J$5,Calculations!R9+(Calculations!R9*Calculations!O10*Q10))</f>
        <v>784826.13949299871</v>
      </c>
      <c r="S10" s="54">
        <f t="shared" si="0"/>
        <v>1</v>
      </c>
      <c r="T10" s="37">
        <f t="shared" si="5"/>
        <v>784.82613949299866</v>
      </c>
      <c r="U10" s="142">
        <f>T10/(1+Real_Discount_Rate)^(Calculations!M10-'Assumed Values'!$C$5)</f>
        <v>522.96279509909323</v>
      </c>
    </row>
    <row r="11" spans="1:21" ht="15.75" x14ac:dyDescent="0.25">
      <c r="A11" s="152" t="s">
        <v>107</v>
      </c>
      <c r="B11" s="153">
        <f>(_2045_Peak_Period_Volume/'Inputs &amp; Outputs'!$C$27)^(1/(2045-2018))-1</f>
        <v>3.7896507609981311E-2</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90431.021223577918</v>
      </c>
      <c r="O11" s="146">
        <f t="shared" si="2"/>
        <v>0.1178897800486729</v>
      </c>
      <c r="P11" s="147">
        <f t="shared" si="3"/>
        <v>0.73783854469371124</v>
      </c>
      <c r="Q11" s="148">
        <f t="shared" si="4"/>
        <v>1</v>
      </c>
      <c r="R11" s="37">
        <f>IF(M11=Year_Open_to_Traffic?,Calculations!$J$5,Calculations!R10+(Calculations!R10*Calculations!O11*Q11))</f>
        <v>877349.12045427738</v>
      </c>
      <c r="S11" s="54">
        <f t="shared" si="0"/>
        <v>1</v>
      </c>
      <c r="T11" s="37">
        <f t="shared" si="5"/>
        <v>877.34912045427734</v>
      </c>
      <c r="U11" s="142">
        <f>T11/(1+Real_Discount_Rate)^(Calculations!M11-'Assumed Values'!$C$5)</f>
        <v>546.36893830557426</v>
      </c>
    </row>
    <row r="12" spans="1:21" ht="15.75" x14ac:dyDescent="0.25">
      <c r="A12" s="152" t="s">
        <v>75</v>
      </c>
      <c r="B12" s="156">
        <f>'Inputs &amp; Outputs'!C27/_2018_Peak_Period_Capacity</f>
        <v>0.50905432595573441</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91450.43141505016</v>
      </c>
      <c r="O12" s="146">
        <f t="shared" ref="O12:O36" si="7">IFERROR(_2025_2045_Demand_Growth,_2018_2045_Demand_Growth)</f>
        <v>1.12727930933334E-2</v>
      </c>
      <c r="P12" s="147">
        <f t="shared" ref="P12:P36" si="8">P11*(1+IFERROR(_2025_2040_V_C_Growth,_2018_2045_V_C_Growth))</f>
        <v>0.74615604594432972</v>
      </c>
      <c r="Q12" s="148">
        <f t="shared" si="4"/>
        <v>1</v>
      </c>
      <c r="R12" s="37">
        <f>IF(M12=Year_Open_to_Traffic?,Calculations!$J$5,Calculations!R11+(Calculations!R11*Calculations!O12*Q12))</f>
        <v>887239.29555977648</v>
      </c>
      <c r="S12" s="54">
        <f t="shared" si="0"/>
        <v>1</v>
      </c>
      <c r="T12" s="37">
        <f t="shared" si="5"/>
        <v>887.23929555977645</v>
      </c>
      <c r="U12" s="142">
        <f>T12/(1+Real_Discount_Rate)^(Calculations!M12-'Assumed Values'!$C$5)</f>
        <v>516.38134794366101</v>
      </c>
    </row>
    <row r="13" spans="1:21" ht="15.75" x14ac:dyDescent="0.25">
      <c r="A13" s="152" t="s">
        <v>74</v>
      </c>
      <c r="B13" s="156">
        <f>_2025_Peak_Period_Volume/_2025_Peak_Period_Capacity</f>
        <v>0.73783854469371146</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92481.333206688098</v>
      </c>
      <c r="O13" s="146">
        <f t="shared" si="7"/>
        <v>1.12727930933334E-2</v>
      </c>
      <c r="P13" s="147">
        <f t="shared" si="8"/>
        <v>0.75456730866559996</v>
      </c>
      <c r="Q13" s="148">
        <f t="shared" si="4"/>
        <v>1</v>
      </c>
      <c r="R13" s="37">
        <f>IF(M13=Year_Open_to_Traffic?,Calculations!$J$5,Calculations!R12+(Calculations!R12*Calculations!O13*Q13))</f>
        <v>897240.96056289668</v>
      </c>
      <c r="S13" s="54">
        <f t="shared" si="0"/>
        <v>1</v>
      </c>
      <c r="T13" s="37">
        <f t="shared" si="5"/>
        <v>897.2409605628967</v>
      </c>
      <c r="U13" s="142">
        <f>T13/(1+Real_Discount_Rate)^(Calculations!M13-'Assumed Values'!$C$5)</f>
        <v>488.03963367877236</v>
      </c>
    </row>
    <row r="14" spans="1:21" ht="15.75" x14ac:dyDescent="0.25">
      <c r="A14" s="152" t="s">
        <v>148</v>
      </c>
      <c r="B14" s="156">
        <f>_2045_Peak_Period_Volume/_2045_Peak_Period_Capacity</f>
        <v>0.92326804603045454</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93523.856140922711</v>
      </c>
      <c r="O14" s="146">
        <f t="shared" si="7"/>
        <v>1.12727930933334E-2</v>
      </c>
      <c r="P14" s="147">
        <f>P13*(1+IFERROR(_2025_2040_V_C_Growth,_2018_2045_V_C_Growth))</f>
        <v>0.76307338981118067</v>
      </c>
      <c r="Q14" s="148">
        <f t="shared" si="4"/>
        <v>1</v>
      </c>
      <c r="R14" s="37">
        <f>IF(M14=Year_Open_to_Traffic?,Calculations!$J$5,Calculations!R13+(Calculations!R13*Calculations!O14*Q14))</f>
        <v>907355.37226618594</v>
      </c>
      <c r="S14" s="54">
        <f t="shared" si="0"/>
        <v>1</v>
      </c>
      <c r="T14" s="37">
        <f t="shared" si="5"/>
        <v>907.3553722661859</v>
      </c>
      <c r="U14" s="142">
        <f>T14/(1+Real_Discount_Rate)^(Calculations!M14-'Assumed Values'!$C$5)</f>
        <v>461.25346120614893</v>
      </c>
    </row>
    <row r="15" spans="1:21" ht="15.75" x14ac:dyDescent="0.25">
      <c r="A15" s="152" t="s">
        <v>80</v>
      </c>
      <c r="B15" s="153">
        <f>(B13/B12)^(1/(2025-2018))-1</f>
        <v>5.4455295927518632E-2</v>
      </c>
      <c r="L15" s="136"/>
      <c r="M15" s="144">
        <f>M14+1</f>
        <v>2029</v>
      </c>
      <c r="N15" s="145">
        <f t="shared" si="6"/>
        <v>94578.131220490017</v>
      </c>
      <c r="O15" s="146">
        <f t="shared" si="7"/>
        <v>1.12727930933334E-2</v>
      </c>
      <c r="P15" s="147">
        <f>P14*(1+IFERROR(_2025_2040_V_C_Growth,_2018_2045_V_C_Growth))</f>
        <v>0.77167535824955069</v>
      </c>
      <c r="Q15" s="148">
        <f t="shared" si="4"/>
        <v>1</v>
      </c>
      <c r="R15" s="37">
        <f>IF(M15=Year_Open_to_Traffic?,Calculations!$J$5,Calculations!R14+(Calculations!R14*Calculations!O15*Q15))</f>
        <v>917583.80163986713</v>
      </c>
      <c r="S15" s="54">
        <f t="shared" si="0"/>
        <v>1</v>
      </c>
      <c r="T15" s="37">
        <f t="shared" si="5"/>
        <v>917.58380163986715</v>
      </c>
      <c r="U15" s="142">
        <f>T15/(1+Real_Discount_Rate)^(Calculations!M15-'Assumed Values'!$C$5)</f>
        <v>435.93745424103713</v>
      </c>
    </row>
    <row r="16" spans="1:21" ht="15.75" x14ac:dyDescent="0.25">
      <c r="A16" s="152" t="s">
        <v>108</v>
      </c>
      <c r="B16" s="153">
        <f>(B14/B13)^(1/(2045-2025))-1</f>
        <v>1.12727930933334E-2</v>
      </c>
      <c r="D16" s="157" t="s">
        <v>136</v>
      </c>
      <c r="E16" s="151"/>
      <c r="L16" s="136"/>
      <c r="M16" s="137">
        <f t="shared" si="1"/>
        <v>2030</v>
      </c>
      <c r="N16" s="145">
        <f t="shared" si="6"/>
        <v>95644.290924892732</v>
      </c>
      <c r="O16" s="146">
        <f t="shared" si="7"/>
        <v>1.12727930933334E-2</v>
      </c>
      <c r="P16" s="147">
        <f t="shared" si="8"/>
        <v>0.78037429489832177</v>
      </c>
      <c r="Q16" s="148">
        <f t="shared" si="4"/>
        <v>1</v>
      </c>
      <c r="R16" s="37">
        <f>IF(M16=Year_Open_to_Traffic?,Calculations!$J$5,Calculations!R15+(Calculations!R15*Calculations!O16*Q16))</f>
        <v>927927.53398154757</v>
      </c>
      <c r="S16" s="54">
        <f t="shared" si="0"/>
        <v>1</v>
      </c>
      <c r="T16" s="37">
        <f t="shared" si="5"/>
        <v>927.92753398154753</v>
      </c>
      <c r="U16" s="142">
        <f>T16/(1+Real_Discount_Rate)^(Calculations!M16-'Assumed Values'!$C$5)</f>
        <v>412.01092239657089</v>
      </c>
    </row>
    <row r="17" spans="1:21" ht="15.75" x14ac:dyDescent="0.25">
      <c r="A17" s="152" t="s">
        <v>109</v>
      </c>
      <c r="B17" s="153">
        <f>(B14/B12)^(1/(2045-2018))-1</f>
        <v>2.2295460507661957E-2</v>
      </c>
      <c r="D17" s="152" t="s">
        <v>89</v>
      </c>
      <c r="E17" s="158">
        <f>($E$6*Death_Rate)/100000000</f>
        <v>7.344667467529159E-2</v>
      </c>
      <c r="L17" s="136"/>
      <c r="M17" s="144">
        <f t="shared" si="1"/>
        <v>2031</v>
      </c>
      <c r="N17" s="145">
        <f t="shared" si="6"/>
        <v>96722.469227047637</v>
      </c>
      <c r="O17" s="146">
        <f t="shared" si="7"/>
        <v>1.12727930933334E-2</v>
      </c>
      <c r="P17" s="147">
        <f t="shared" si="8"/>
        <v>0.78917129286006649</v>
      </c>
      <c r="Q17" s="148">
        <f t="shared" si="4"/>
        <v>1</v>
      </c>
      <c r="R17" s="37">
        <f>IF(M17=Year_Open_to_Traffic?,Calculations!$J$5,Calculations!R16+(Calculations!R16*Calculations!O17*Q17))</f>
        <v>938387.86907772871</v>
      </c>
      <c r="S17" s="54">
        <f t="shared" si="0"/>
        <v>1</v>
      </c>
      <c r="T17" s="37">
        <f t="shared" si="5"/>
        <v>938.38786907772874</v>
      </c>
      <c r="U17" s="142">
        <f>T17/(1+Real_Discount_Rate)^(Calculations!M17-'Assumed Values'!$C$5)</f>
        <v>389.397603997141</v>
      </c>
    </row>
    <row r="18" spans="1:21" ht="15.75" x14ac:dyDescent="0.25">
      <c r="D18" s="152" t="s">
        <v>94</v>
      </c>
      <c r="E18" s="158">
        <f>($E$6*Incap_Injry_Rate)/100000000</f>
        <v>0.37126109424574821</v>
      </c>
      <c r="L18" s="136"/>
      <c r="M18" s="137">
        <f t="shared" si="1"/>
        <v>2032</v>
      </c>
      <c r="N18" s="145">
        <f t="shared" si="6"/>
        <v>97812.801610120456</v>
      </c>
      <c r="O18" s="146">
        <f t="shared" si="7"/>
        <v>1.12727930933334E-2</v>
      </c>
      <c r="P18" s="147">
        <f t="shared" si="8"/>
        <v>0.79806745755967645</v>
      </c>
      <c r="Q18" s="148">
        <f t="shared" si="4"/>
        <v>1</v>
      </c>
      <c r="R18" s="37">
        <f>IF(M18=Year_Open_to_Traffic?,Calculations!$J$5,Calculations!R17+(Calculations!R17*Calculations!O18*Q18))</f>
        <v>948966.12136713602</v>
      </c>
      <c r="S18" s="54">
        <f t="shared" si="0"/>
        <v>1</v>
      </c>
      <c r="T18" s="37">
        <f t="shared" si="5"/>
        <v>948.966121367136</v>
      </c>
      <c r="U18" s="142">
        <f>T18/(1+Real_Discount_Rate)^(Calculations!M18-'Assumed Values'!$C$5)</f>
        <v>368.02542300751458</v>
      </c>
    </row>
    <row r="19" spans="1:21" ht="15.75" x14ac:dyDescent="0.25">
      <c r="D19" s="152" t="s">
        <v>93</v>
      </c>
      <c r="E19" s="158">
        <f>($E$6*Nonincap_Injry_Rate)/100000000</f>
        <v>2.0946517767879125</v>
      </c>
      <c r="L19" s="136"/>
      <c r="M19" s="144">
        <f t="shared" si="1"/>
        <v>2033</v>
      </c>
      <c r="N19" s="145">
        <f t="shared" si="6"/>
        <v>98915.425084550618</v>
      </c>
      <c r="O19" s="146">
        <f t="shared" si="7"/>
        <v>1.12727930933334E-2</v>
      </c>
      <c r="P19" s="147">
        <f t="shared" si="8"/>
        <v>0.80706390688326934</v>
      </c>
      <c r="Q19" s="148">
        <f t="shared" si="4"/>
        <v>1</v>
      </c>
      <c r="R19" s="37">
        <f>IF(M19=Year_Open_to_Traffic?,Calculations!$J$5,Calculations!R18+(Calculations!R18*Calculations!O19*Q19))</f>
        <v>959663.62010589091</v>
      </c>
      <c r="S19" s="54">
        <f t="shared" si="0"/>
        <v>1</v>
      </c>
      <c r="T19" s="37">
        <f t="shared" si="5"/>
        <v>959.66362010589091</v>
      </c>
      <c r="U19" s="142">
        <f>T19/(1+Real_Discount_Rate)^(Calculations!M19-'Assumed Values'!$C$5)</f>
        <v>347.82625930295774</v>
      </c>
    </row>
    <row r="20" spans="1:21" ht="15.75" x14ac:dyDescent="0.25">
      <c r="D20" s="152" t="s">
        <v>92</v>
      </c>
      <c r="E20" s="158">
        <f>($E$6*Poss_Injry_Rate/100000000)</f>
        <v>5.2291663121237448</v>
      </c>
      <c r="L20" s="136"/>
      <c r="M20" s="137">
        <f t="shared" si="1"/>
        <v>2034</v>
      </c>
      <c r="N20" s="145">
        <f t="shared" si="6"/>
        <v>100030.47820526788</v>
      </c>
      <c r="O20" s="146">
        <f t="shared" si="7"/>
        <v>1.12727930933334E-2</v>
      </c>
      <c r="P20" s="147">
        <f t="shared" si="8"/>
        <v>0.81616177131866174</v>
      </c>
      <c r="Q20" s="148">
        <f t="shared" si="4"/>
        <v>1</v>
      </c>
      <c r="R20" s="37">
        <f>IF(M20=Year_Open_to_Traffic?,Calculations!$J$5,Calculations!R19+(Calculations!R19*Calculations!O20*Q20))</f>
        <v>970481.70953454392</v>
      </c>
      <c r="S20" s="54">
        <f t="shared" si="0"/>
        <v>1</v>
      </c>
      <c r="T20" s="37">
        <f t="shared" si="5"/>
        <v>970.48170953454394</v>
      </c>
      <c r="U20" s="142">
        <f>T20/(1+Real_Discount_Rate)^(Calculations!M20-'Assumed Values'!$C$5)</f>
        <v>328.73573154813846</v>
      </c>
    </row>
    <row r="21" spans="1:21" ht="15.75" x14ac:dyDescent="0.25">
      <c r="D21" s="152" t="s">
        <v>91</v>
      </c>
      <c r="E21" s="158">
        <f>($E$6*Non_Injry_Rate)/100000000</f>
        <v>40.546829066387261</v>
      </c>
      <c r="L21" s="136"/>
      <c r="M21" s="144">
        <f>M20+1</f>
        <v>2035</v>
      </c>
      <c r="N21" s="145">
        <f t="shared" si="6"/>
        <v>101158.10108910306</v>
      </c>
      <c r="O21" s="146">
        <f t="shared" si="7"/>
        <v>1.12727930933334E-2</v>
      </c>
      <c r="P21" s="147">
        <f>P20*(1+IFERROR(_2025_2040_V_C_Growth,_2018_2045_V_C_Growth))</f>
        <v>0.82536219409742551</v>
      </c>
      <c r="Q21" s="148">
        <f t="shared" si="4"/>
        <v>1</v>
      </c>
      <c r="R21" s="37">
        <f>IF(M21=Year_Open_to_Traffic?,Calculations!$J$5,Calculations!R20+(Calculations!R20*Calculations!O21*Q21))</f>
        <v>981421.74904699135</v>
      </c>
      <c r="S21" s="54">
        <f t="shared" si="0"/>
        <v>1</v>
      </c>
      <c r="T21" s="37">
        <f t="shared" si="5"/>
        <v>981.42174904699129</v>
      </c>
      <c r="U21" s="142">
        <f>T21/(1+Real_Discount_Rate)^(Calculations!M21-'Assumed Values'!$C$5)</f>
        <v>310.69299199277214</v>
      </c>
    </row>
    <row r="22" spans="1:21" ht="15.75" x14ac:dyDescent="0.25">
      <c r="D22" s="152" t="s">
        <v>90</v>
      </c>
      <c r="E22" s="158">
        <f>($E$6*Unkn_Injry_Rate)/100000000</f>
        <v>3.5183326417034841</v>
      </c>
      <c r="L22" s="136"/>
      <c r="M22" s="137">
        <f>M21+1</f>
        <v>2036</v>
      </c>
      <c r="N22" s="145">
        <f t="shared" si="6"/>
        <v>102298.43543239502</v>
      </c>
      <c r="O22" s="146">
        <f t="shared" si="7"/>
        <v>1.12727930933334E-2</v>
      </c>
      <c r="P22" s="147">
        <f t="shared" si="8"/>
        <v>0.83466633133854551</v>
      </c>
      <c r="Q22" s="148">
        <f t="shared" si="4"/>
        <v>1</v>
      </c>
      <c r="R22" s="37">
        <f>IF(M22=Year_Open_to_Traffic?,Calculations!$J$5,Calculations!R21+(Calculations!R21*Calculations!O22*Q22))</f>
        <v>992485.11336129543</v>
      </c>
      <c r="S22" s="54">
        <f t="shared" si="0"/>
        <v>1</v>
      </c>
      <c r="T22" s="37">
        <f t="shared" si="5"/>
        <v>992.48511336129548</v>
      </c>
      <c r="U22" s="142">
        <f>T22/(1+Real_Discount_Rate)^(Calculations!M22-'Assumed Values'!$C$5)</f>
        <v>293.64053252995831</v>
      </c>
    </row>
    <row r="23" spans="1:21" ht="15.75" x14ac:dyDescent="0.25">
      <c r="L23" s="136"/>
      <c r="M23" s="144">
        <f t="shared" si="1"/>
        <v>2037</v>
      </c>
      <c r="N23" s="145">
        <f t="shared" si="6"/>
        <v>103451.62452879614</v>
      </c>
      <c r="O23" s="146">
        <f t="shared" si="7"/>
        <v>1.12727930933334E-2</v>
      </c>
      <c r="P23" s="147">
        <f t="shared" si="8"/>
        <v>0.84407535219369656</v>
      </c>
      <c r="Q23" s="148">
        <f t="shared" si="4"/>
        <v>1</v>
      </c>
      <c r="R23" s="37">
        <f>IF(M23=Year_Open_to_Traffic?,Calculations!$J$5,Calculations!R22+(Calculations!R22*Calculations!O23*Q23))</f>
        <v>1003673.1926924308</v>
      </c>
      <c r="S23" s="54">
        <f t="shared" si="0"/>
        <v>1</v>
      </c>
      <c r="T23" s="37">
        <f t="shared" si="5"/>
        <v>1003.6731926924308</v>
      </c>
      <c r="U23" s="142">
        <f>T23/(1+Real_Discount_Rate)^(Calculations!M23-'Assumed Values'!$C$5)</f>
        <v>277.52400139905114</v>
      </c>
    </row>
    <row r="24" spans="1:21" ht="15.75" x14ac:dyDescent="0.25">
      <c r="L24" s="136"/>
      <c r="M24" s="137">
        <f t="shared" si="1"/>
        <v>2038</v>
      </c>
      <c r="N24" s="145">
        <f t="shared" si="6"/>
        <v>104617.81328727846</v>
      </c>
      <c r="O24" s="146">
        <f t="shared" si="7"/>
        <v>1.12727930933334E-2</v>
      </c>
      <c r="P24" s="147">
        <f t="shared" si="8"/>
        <v>0.85359043899415865</v>
      </c>
      <c r="Q24" s="148">
        <f t="shared" si="4"/>
        <v>1</v>
      </c>
      <c r="R24" s="37">
        <f>IF(M24=Year_Open_to_Traffic?,Calculations!$J$5,Calculations!R23+(Calculations!R23*Calculations!O24*Q24))</f>
        <v>1014987.3929269779</v>
      </c>
      <c r="S24" s="54">
        <f t="shared" si="0"/>
        <v>1</v>
      </c>
      <c r="T24" s="37">
        <f t="shared" si="5"/>
        <v>1014.9873929269779</v>
      </c>
      <c r="U24" s="142">
        <f>T24/(1+Real_Discount_Rate)^(Calculations!M24-'Assumed Values'!$C$5)</f>
        <v>262.29202994883798</v>
      </c>
    </row>
    <row r="25" spans="1:21" ht="15.75" x14ac:dyDescent="0.25">
      <c r="A25" s="182" t="s">
        <v>99</v>
      </c>
      <c r="B25" s="182"/>
      <c r="D25" s="159" t="s">
        <v>89</v>
      </c>
      <c r="E25" s="159" t="s">
        <v>94</v>
      </c>
      <c r="F25" s="159" t="s">
        <v>93</v>
      </c>
      <c r="G25" s="159" t="s">
        <v>92</v>
      </c>
      <c r="H25" s="159" t="s">
        <v>91</v>
      </c>
      <c r="I25" s="159" t="s">
        <v>90</v>
      </c>
      <c r="J25" s="183" t="s">
        <v>100</v>
      </c>
      <c r="L25" s="136"/>
      <c r="M25" s="144">
        <f t="shared" si="1"/>
        <v>2039</v>
      </c>
      <c r="N25" s="145">
        <f t="shared" si="6"/>
        <v>105797.14825034294</v>
      </c>
      <c r="O25" s="146">
        <f t="shared" si="7"/>
        <v>1.12727930933334E-2</v>
      </c>
      <c r="P25" s="147">
        <f t="shared" si="8"/>
        <v>0.86321278739938745</v>
      </c>
      <c r="Q25" s="148">
        <f t="shared" si="4"/>
        <v>1</v>
      </c>
      <c r="R25" s="37">
        <f>IF(M25=Year_Open_to_Traffic?,Calculations!$J$5,Calculations!R24+(Calculations!R24*Calculations!O25*Q25))</f>
        <v>1026429.1357997856</v>
      </c>
      <c r="S25" s="54">
        <f t="shared" si="0"/>
        <v>1</v>
      </c>
      <c r="T25" s="37">
        <f t="shared" si="5"/>
        <v>1026.4291357997856</v>
      </c>
      <c r="U25" s="142">
        <f>T25/(1+Real_Discount_Rate)^(Calculations!M25-'Assumed Values'!$C$5)</f>
        <v>247.89606890886131</v>
      </c>
    </row>
    <row r="26" spans="1:21" ht="15.75" x14ac:dyDescent="0.25">
      <c r="A26" s="182"/>
      <c r="B26" s="182"/>
      <c r="D26" s="160">
        <f>Calculations!E17</f>
        <v>7.344667467529159E-2</v>
      </c>
      <c r="E26" s="160">
        <f>Calculations!E18</f>
        <v>0.37126109424574821</v>
      </c>
      <c r="F26" s="160">
        <f>Calculations!E19</f>
        <v>2.0946517767879125</v>
      </c>
      <c r="G26" s="160">
        <f>Calculations!E20</f>
        <v>5.2291663121237448</v>
      </c>
      <c r="H26" s="160">
        <f>Calculations!E21</f>
        <v>40.546829066387261</v>
      </c>
      <c r="I26" s="160">
        <f>Calculations!E22</f>
        <v>3.5183326417034841</v>
      </c>
      <c r="J26" s="183"/>
      <c r="L26" s="136"/>
      <c r="M26" s="137">
        <f t="shared" si="1"/>
        <v>2040</v>
      </c>
      <c r="N26" s="145">
        <f t="shared" si="6"/>
        <v>106989.77761243378</v>
      </c>
      <c r="O26" s="146">
        <f t="shared" si="7"/>
        <v>1.12727930933334E-2</v>
      </c>
      <c r="P26" s="147">
        <f t="shared" si="8"/>
        <v>0.87294360654726033</v>
      </c>
      <c r="Q26" s="148">
        <f t="shared" si="4"/>
        <v>1</v>
      </c>
      <c r="R26" s="37">
        <f>IF(M26=Year_Open_to_Traffic?,Calculations!$J$5,Calculations!R25+(Calculations!R25*Calculations!O26*Q26))</f>
        <v>1037999.8590726256</v>
      </c>
      <c r="S26" s="54">
        <f t="shared" si="0"/>
        <v>1</v>
      </c>
      <c r="T26" s="37">
        <f t="shared" si="5"/>
        <v>1037.9998590726257</v>
      </c>
      <c r="U26" s="142">
        <f>T26/(1+Real_Discount_Rate)^(Calculations!M26-'Assumed Values'!$C$5)</f>
        <v>234.29023364702957</v>
      </c>
    </row>
    <row r="27" spans="1:21" ht="15.75" x14ac:dyDescent="0.25">
      <c r="A27" s="161" t="s">
        <v>95</v>
      </c>
      <c r="B27" s="162" t="s">
        <v>96</v>
      </c>
      <c r="D27" s="163">
        <f>D$26*'Value of Statistical Life'!D17*Appropriate_Crash_Reduction_Factor</f>
        <v>0</v>
      </c>
      <c r="E27" s="163">
        <f>E$26*'Value of Statistical Life'!E17*Appropriate_Crash_Reduction_Factor</f>
        <v>3.5728682665833828E-3</v>
      </c>
      <c r="F27" s="163">
        <f>F$26*'Value of Statistical Life'!F17*Appropriate_Crash_Reduction_Factor</f>
        <v>4.8955363466376377E-2</v>
      </c>
      <c r="G27" s="163">
        <f>G$26*'Value of Statistical Life'!G17*Appropriate_Crash_Reduction_Factor</f>
        <v>0.34315671840028383</v>
      </c>
      <c r="H27" s="163">
        <f>H$26*'Value of Statistical Life'!H17*Appropriate_Crash_Reduction_Factor</f>
        <v>10.505488786321422</v>
      </c>
      <c r="I27" s="163">
        <f>I$26*'Value of Statistical Life'!I17*Appropriate_Crash_Reduction_Factor</f>
        <v>0.43026675008531584</v>
      </c>
      <c r="J27" s="163">
        <f t="shared" ref="J27:J33" si="9">SUM(D27:I27)</f>
        <v>11.331440486539982</v>
      </c>
      <c r="K27" s="164"/>
      <c r="L27" s="136"/>
      <c r="M27" s="144">
        <f t="shared" si="1"/>
        <v>2041</v>
      </c>
      <c r="N27" s="145">
        <f t="shared" si="6"/>
        <v>108195.8512385605</v>
      </c>
      <c r="O27" s="146">
        <f t="shared" si="7"/>
        <v>1.12727930933334E-2</v>
      </c>
      <c r="P27" s="147">
        <f t="shared" si="8"/>
        <v>0.88278411920601585</v>
      </c>
      <c r="Q27" s="148">
        <f t="shared" si="4"/>
        <v>1</v>
      </c>
      <c r="R27" s="37">
        <f>IF(M27=Year_Open_to_Traffic?,Calculations!$J$5,Calculations!R26+(Calculations!R26*Calculations!O27*Q27))</f>
        <v>1049701.0167148607</v>
      </c>
      <c r="S27" s="54">
        <f t="shared" si="0"/>
        <v>1</v>
      </c>
      <c r="T27" s="37">
        <f t="shared" si="5"/>
        <v>1049.7010167148608</v>
      </c>
      <c r="U27" s="142">
        <f>T27/(1+Real_Discount_Rate)^(Calculations!M27-'Assumed Values'!$C$5)</f>
        <v>221.43115792030028</v>
      </c>
    </row>
    <row r="28" spans="1:21" ht="15.75" x14ac:dyDescent="0.25">
      <c r="A28" s="161" t="s">
        <v>61</v>
      </c>
      <c r="B28" s="165" t="s">
        <v>62</v>
      </c>
      <c r="D28" s="163">
        <f>D$26*'Value of Statistical Life'!D18*Appropriate_Crash_Reduction_Factor</f>
        <v>0</v>
      </c>
      <c r="E28" s="163">
        <f>E$26*'Value of Statistical Life'!E18*Appropriate_Crash_Reduction_Factor</f>
        <v>5.7640957961530986E-2</v>
      </c>
      <c r="F28" s="163">
        <f>F$26*'Value of Statistical Life'!F18*Appropriate_Crash_Reduction_Factor</f>
        <v>0.45068611415439797</v>
      </c>
      <c r="G28" s="163">
        <f>G$26*'Value of Statistical Life'!G18*Appropriate_Crash_Reduction_Factor</f>
        <v>1.0094842815559144</v>
      </c>
      <c r="H28" s="163">
        <f>H$26*'Value of Statistical Life'!H18*Appropriate_Crash_Reduction_Factor</f>
        <v>0.82389534789736263</v>
      </c>
      <c r="I28" s="163">
        <f>I$26*'Value of Statistical Life'!I18*Appropriate_Crash_Reduction_Factor</f>
        <v>0.41118472116977284</v>
      </c>
      <c r="J28" s="163">
        <f t="shared" si="9"/>
        <v>2.7528914227389789</v>
      </c>
      <c r="K28" s="164"/>
      <c r="L28" s="136"/>
      <c r="M28" s="137">
        <f t="shared" si="1"/>
        <v>2042</v>
      </c>
      <c r="N28" s="145">
        <f t="shared" si="6"/>
        <v>109415.52068312987</v>
      </c>
      <c r="O28" s="146">
        <f t="shared" si="7"/>
        <v>1.12727930933334E-2</v>
      </c>
      <c r="P28" s="147">
        <f t="shared" si="8"/>
        <v>0.89273556192790582</v>
      </c>
      <c r="Q28" s="148">
        <f t="shared" si="4"/>
        <v>1</v>
      </c>
      <c r="R28" s="37">
        <f>IF(M28=Year_Open_to_Traffic?,Calculations!$J$5,Calculations!R27+(Calculations!R27*Calculations!O28*Q28))</f>
        <v>1061534.0790861491</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2.1734515483772289E-2</v>
      </c>
      <c r="F29" s="163">
        <f>F$26*'Value of Statistical Life'!F19*Appropriate_Crash_Reduction_Factor</f>
        <v>6.3917042177617081E-2</v>
      </c>
      <c r="G29" s="163">
        <f>G$26*'Value of Statistical Life'!G19*Appropriate_Crash_Reduction_Factor</f>
        <v>9.3574885322191992E-2</v>
      </c>
      <c r="H29" s="163">
        <f>H$26*'Value of Statistical Life'!H19*Appropriate_Crash_Reduction_Factor</f>
        <v>2.2479162034405101E-2</v>
      </c>
      <c r="I29" s="163">
        <f>I$26*'Value of Statistical Life'!I19*Appropriate_Crash_Reduction_Factor</f>
        <v>8.7401012152141272E-2</v>
      </c>
      <c r="J29" s="163">
        <f t="shared" si="9"/>
        <v>0.28910661717012776</v>
      </c>
      <c r="K29" s="164"/>
      <c r="L29" s="136"/>
      <c r="M29" s="144">
        <f t="shared" si="1"/>
        <v>2043</v>
      </c>
      <c r="N29" s="145">
        <f t="shared" si="6"/>
        <v>110648.93920899014</v>
      </c>
      <c r="O29" s="146">
        <f t="shared" si="7"/>
        <v>1.12727930933334E-2</v>
      </c>
      <c r="P29" s="147">
        <f t="shared" si="8"/>
        <v>0.9027991852045798</v>
      </c>
      <c r="Q29" s="148">
        <f t="shared" si="4"/>
        <v>1</v>
      </c>
      <c r="R29" s="37">
        <f>IF(M29=Year_Open_to_Traffic?,Calculations!$J$5,Calculations!R28+(Calculations!R28*Calculations!O29*Q29))</f>
        <v>1073500.5331212096</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1.5007709969352427E-2</v>
      </c>
      <c r="F30" s="163">
        <f>F$26*'Value of Statistical Life'!F20*Appropriate_Crash_Reduction_Factor</f>
        <v>1.871529469524464E-2</v>
      </c>
      <c r="G30" s="163">
        <f>G$26*'Value of Statistical Life'!G20*Appropriate_Crash_Reduction_Factor</f>
        <v>1.568122393679669E-2</v>
      </c>
      <c r="H30" s="163">
        <f>H$26*'Value of Statistical Life'!H20*Appropriate_Crash_Reduction_Factor</f>
        <v>9.0824897108707486E-4</v>
      </c>
      <c r="I30" s="163">
        <f>I$26*'Value of Statistical Life'!I20*Appropriate_Crash_Reduction_Factor</f>
        <v>4.7453863338239914E-2</v>
      </c>
      <c r="J30" s="163">
        <f t="shared" si="9"/>
        <v>9.7766340910720742E-2</v>
      </c>
      <c r="K30" s="164"/>
      <c r="L30" s="136"/>
      <c r="M30" s="144">
        <f t="shared" si="1"/>
        <v>2044</v>
      </c>
      <c r="N30" s="145">
        <f t="shared" si="6"/>
        <v>111896.26180668992</v>
      </c>
      <c r="O30" s="146">
        <f t="shared" si="7"/>
        <v>1.12727930933334E-2</v>
      </c>
      <c r="P30" s="147">
        <f t="shared" si="8"/>
        <v>0.91297625362422097</v>
      </c>
      <c r="Q30" s="148">
        <f t="shared" si="4"/>
        <v>1</v>
      </c>
      <c r="R30" s="37">
        <f>IF(M30=Year_Open_to_Traffic?,Calculations!$J$5,Calculations!R29+(Calculations!R29*Calculations!O30*Q30))</f>
        <v>1085601.8825166682</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4.143570820657947E-3</v>
      </c>
      <c r="F31" s="163">
        <f>F$26*'Value of Statistical Life'!F21*Appropriate_Crash_Reduction_Factor</f>
        <v>3.6363154845038166E-3</v>
      </c>
      <c r="G31" s="163">
        <f>G$26*'Value of Statistical Life'!G21*Appropriate_Crash_Reduction_Factor</f>
        <v>2.079116525700401E-3</v>
      </c>
      <c r="H31" s="163">
        <f>H$26*'Value of Statistical Life'!H21*Appropriate_Crash_Reduction_Factor</f>
        <v>0</v>
      </c>
      <c r="I31" s="163">
        <f>I$26*'Value of Statistical Life'!I21*Appropriate_Crash_Reduction_Factor</f>
        <v>6.0782714718069395E-3</v>
      </c>
      <c r="J31" s="163">
        <f t="shared" si="9"/>
        <v>1.5937274302669103E-2</v>
      </c>
      <c r="K31" s="164"/>
      <c r="L31" s="136"/>
      <c r="M31" s="144">
        <f t="shared" si="1"/>
        <v>2045</v>
      </c>
      <c r="N31" s="145">
        <f t="shared" si="6"/>
        <v>113157.64521395419</v>
      </c>
      <c r="O31" s="146">
        <f t="shared" si="7"/>
        <v>1.12727930933334E-2</v>
      </c>
      <c r="P31" s="147">
        <f t="shared" si="8"/>
        <v>0.92326804603045354</v>
      </c>
      <c r="Q31" s="148">
        <f t="shared" si="4"/>
        <v>1</v>
      </c>
      <c r="R31" s="37">
        <f>IF(M31=Year_Open_to_Traffic?,Calculations!$J$5,Calculations!R30+(Calculations!R30*Calculations!O31*Q31))</f>
        <v>1097839.6479200118</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1.8534838869124735E-3</v>
      </c>
      <c r="F32" s="163">
        <f>F$26*'Value of Statistical Life'!F22*Appropriate_Crash_Reduction_Factor</f>
        <v>5.923675224756218E-4</v>
      </c>
      <c r="G32" s="163">
        <f>G$26*'Value of Statistical Life'!G22*Appropriate_Crash_Reduction_Factor</f>
        <v>1.903416537613043E-4</v>
      </c>
      <c r="H32" s="163">
        <f>H$26*'Value of Statistical Life'!H22*Appropriate_Crash_Reduction_Factor</f>
        <v>3.4059336415765307E-4</v>
      </c>
      <c r="I32" s="163">
        <f>I$26*'Value of Statistical Life'!I22*Appropriate_Crash_Reduction_Factor</f>
        <v>2.748521459698762E-3</v>
      </c>
      <c r="J32" s="163">
        <f t="shared" si="9"/>
        <v>5.7253078870058149E-3</v>
      </c>
      <c r="K32" s="164"/>
      <c r="L32" s="136"/>
      <c r="M32" s="144">
        <f t="shared" si="1"/>
        <v>2046</v>
      </c>
      <c r="N32" s="145">
        <f t="shared" si="6"/>
        <v>114433.24793537993</v>
      </c>
      <c r="O32" s="146">
        <f t="shared" si="7"/>
        <v>1.12727930933334E-2</v>
      </c>
      <c r="P32" s="147">
        <f t="shared" si="8"/>
        <v>0.93367585568304101</v>
      </c>
      <c r="Q32" s="148">
        <f t="shared" si="4"/>
        <v>1</v>
      </c>
      <c r="R32" s="37">
        <f>IF(M32=Year_Open_to_Traffic?,Calculations!$J$5,Calculations!R31+(Calculations!R31*Calculations!O32*Q32))</f>
        <v>1110215.367120672</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2.0565068909081646E-2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2.0565068909081646E-2</v>
      </c>
      <c r="K33" s="164"/>
      <c r="L33" s="136"/>
      <c r="M33" s="144">
        <f t="shared" si="1"/>
        <v>2047</v>
      </c>
      <c r="N33" s="145">
        <f t="shared" si="6"/>
        <v>115723.23026235359</v>
      </c>
      <c r="O33" s="146">
        <f t="shared" si="7"/>
        <v>1.12727930933334E-2</v>
      </c>
      <c r="P33" s="147">
        <f t="shared" si="8"/>
        <v>0.94420099042039696</v>
      </c>
      <c r="Q33" s="148">
        <f t="shared" si="4"/>
        <v>1</v>
      </c>
      <c r="R33" s="37">
        <f>IF(M33=Year_Open_to_Traffic?,Calculations!$J$5,Calculations!R32+(Calculations!R32*Calculations!O33*Q33))</f>
        <v>1122730.5952432626</v>
      </c>
      <c r="S33" s="54">
        <f t="shared" si="0"/>
        <v>0</v>
      </c>
      <c r="T33" s="37">
        <f t="shared" si="5"/>
        <v>0</v>
      </c>
      <c r="U33" s="142">
        <f>T33/(1+Real_Discount_Rate)^(Calculations!M33-'Assumed Values'!$C$5)</f>
        <v>0</v>
      </c>
    </row>
    <row r="34" spans="1:21" ht="15.75" x14ac:dyDescent="0.25">
      <c r="J34" s="166"/>
      <c r="L34" s="136"/>
      <c r="M34" s="144">
        <f t="shared" si="1"/>
        <v>2048</v>
      </c>
      <c r="N34" s="145">
        <f t="shared" si="6"/>
        <v>117027.75429319328</v>
      </c>
      <c r="O34" s="146">
        <f t="shared" si="7"/>
        <v>1.12727930933334E-2</v>
      </c>
      <c r="P34" s="147">
        <f t="shared" si="8"/>
        <v>0.95484477282392655</v>
      </c>
      <c r="Q34" s="148">
        <f t="shared" si="4"/>
        <v>1</v>
      </c>
      <c r="R34" s="37">
        <f>IF(M34=Year_Open_to_Traffic?,Calculations!$J$5,Calculations!R33+(Calculations!R33*Calculations!O34*Q34))</f>
        <v>1135386.9049429949</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118346.98395351791</v>
      </c>
      <c r="O35" s="146">
        <f t="shared" si="7"/>
        <v>1.12727930933334E-2</v>
      </c>
      <c r="P35" s="147">
        <f t="shared" si="8"/>
        <v>0.96560854038422161</v>
      </c>
      <c r="Q35" s="148">
        <f t="shared" si="4"/>
        <v>1</v>
      </c>
      <c r="R35" s="37">
        <f>IF(M35=Year_Open_to_Traffic?,Calculations!$J$5,Calculations!R34+(Calculations!R34*Calculations!O35*Q35))</f>
        <v>1148185.8866032974</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119681.08501684596</v>
      </c>
      <c r="O36" s="146">
        <f t="shared" si="7"/>
        <v>1.12727930933334E-2</v>
      </c>
      <c r="P36" s="147">
        <f t="shared" si="8"/>
        <v>0.97649364566912866</v>
      </c>
      <c r="Q36" s="148">
        <f t="shared" si="4"/>
        <v>1</v>
      </c>
      <c r="R36" s="37">
        <f>IF(M36=Year_Open_to_Traffic?,Calculations!$J$5,Calculations!R35+(Calculations!R35*Calculations!O36*Q36))</f>
        <v>1161129.1485356619</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7644.3816172024644</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E40" sqref="E40"/>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6" t="s">
        <v>73</v>
      </c>
      <c r="C12" s="187"/>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A7" zoomScale="85" zoomScaleNormal="85" workbookViewId="0">
      <selection activeCell="M47" sqref="M47"/>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8"/>
      <c r="T12" s="188"/>
      <c r="U12" s="188"/>
      <c r="V12" s="188"/>
      <c r="W12" s="188"/>
      <c r="X12" s="188"/>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8"/>
      <c r="T26" s="188"/>
      <c r="U26" s="188"/>
      <c r="V26" s="188"/>
      <c r="W26" s="188"/>
      <c r="X26" s="188"/>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I26" sqref="I26"/>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9" t="s">
        <v>97</v>
      </c>
      <c r="C24" s="189"/>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41</vt:i4>
      </vt:variant>
    </vt:vector>
  </HeadingPairs>
  <TitlesOfParts>
    <vt:vector size="51" baseType="lpstr">
      <vt:lpstr>Instructions</vt:lpstr>
      <vt:lpstr>ITS Delay Worksheet</vt:lpstr>
      <vt:lpstr>Emissions Reduction Worksheet</vt:lpstr>
      <vt:lpstr>Inputs &amp; Outputs</vt:lpstr>
      <vt:lpstr>Narrative</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Mohammad Huq, P.E., PTOE</cp:lastModifiedBy>
  <cp:lastPrinted>2018-10-29T17:19:29Z</cp:lastPrinted>
  <dcterms:created xsi:type="dcterms:W3CDTF">2012-07-25T15:48:32Z</dcterms:created>
  <dcterms:modified xsi:type="dcterms:W3CDTF">2018-10-29T18:22:54Z</dcterms:modified>
</cp:coreProperties>
</file>