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G:\007726 HC Pct4 Hamblen Rd Appl 2018\06.00 Work Products\Application\"/>
    </mc:Choice>
  </mc:AlternateContent>
  <xr:revisionPtr revIDLastSave="0" documentId="10_ncr:100000_{2CD2A214-D144-4828-8DFF-9FB0F9235532}" xr6:coauthVersionLast="31" xr6:coauthVersionMax="31" xr10:uidLastSave="{00000000-0000-0000-0000-000000000000}"/>
  <bookViews>
    <workbookView xWindow="0" yWindow="0" windowWidth="27105" windowHeight="850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5"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<sst xmlns="http://schemas.openxmlformats.org/spreadsheetml/2006/main" count="291" uniqueCount="237">
  <si>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</si>
  <si>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</si>
  <si>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</si>
  <si>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</si>
  <si>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</si>
  <si>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</si>
  <si>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</si>
  <si>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</si>
  <si>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</si>
  <si>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</si>
  <si>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</si>
  <si>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</si>
  <si>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</si>
  <si>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</si>
  <si>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</si>
  <si>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</si>
  <si>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</si>
  <si>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</si>
  <si>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</si>
  <si>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</si>
  <si>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</si>
  <si>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</si>
  <si>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</si>
  <si>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</si>
  <si>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</si>
  <si>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</si>
  <si>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</si>
  <si>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</si>
  <si>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</si>
  <si>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</si>
  <si>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</si>
  <si>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</si>
  <si>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</si>
  <si>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</si>
  <si>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</si>
  <si>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</si>
  <si>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</si>
  <si>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</si>
  <si>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</si>
  <si>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</si>
  <si>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</si>
  <si>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</si>
  <si>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</si>
  <si>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</si>
  <si>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</si>
  <si>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</si>
  <si>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</si>
  <si>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</si>
  <si>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</si>
  <si>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</si>
  <si>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</si>
  <si>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</si>
  <si>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</si>
  <si>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</si>
  <si>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</si>
  <si>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</si>
  <si>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</si>
  <si>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</si>
  <si>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</si>
  <si>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</si>
  <si>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</si>
  <si>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</si>
  <si>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</si>
  <si>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</si>
  <si>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</si>
  <si>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</si>
  <si>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</si>
  <si>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</si>
  <si>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</si>
  <si>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</si>
  <si>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</si>
  <si>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</si>
  <si>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</si>
  <si>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</si>
  <si>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</si>
  <si>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</si>
  <si>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</si>
  <si>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</si>
  <si>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</si>
  <si>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</si>
  <si>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</si>
  <si>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</si>
  <si>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</si>
  <si>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</si>
  <si>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</si>
  <si>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</si>
  <si>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</si>
  <si>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</si>
  <si>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</si>
  <si>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</si>
  <si>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</si>
  <si>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</si>
  <si>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</si>
  <si>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</si>
  <si>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</si>
  <si>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</si>
  <si>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</si>
  <si>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</si>
  <si>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</si>
  <si>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</si>
  <si>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</si>
  <si>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</si>
  <si>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</si>
  <si>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</si>
  <si>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</si>
  <si>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</si>
  <si>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</si>
  <si>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</si>
  <si>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</si>
  <si>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</si>
  <si>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</si>
  <si>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</si>
  <si>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</si>
  <si>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</si>
  <si>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</si>
  <si>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</si>
  <si>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</si>
  <si>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</si>
  <si>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</si>
  <si>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</si>
  <si>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</si>
  <si>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</si>
  <si>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</si>
  <si>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</si>
  <si>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</si>
  <si>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</si>
  <si>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</si>
  <si>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</si>
  <si>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</si>
  <si>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</si>
  <si>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</si>
  <si>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</si>
  <si>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</si>
  <si>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</si>
  <si>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</si>
  <si>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</si>
  <si>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</si>
  <si>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</si>
  <si>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</si>
  <si>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</si>
  <si>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</si>
  <si>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</si>
  <si>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</si>
  <si>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</si>
  <si>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</si>
  <si>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</si>
  <si>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</si>
  <si>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</si>
  <si>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</si>
  <si>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</si>
  <si>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</si>
  <si>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</si>
  <si>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</si>
  <si>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</si>
  <si>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</si>
  <si>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</si>
  <si>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</si>
  <si>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</si>
  <si>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</si>
  <si>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</si>
  <si>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</si>
  <si>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</si>
  <si>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</si>
  <si>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</si>
  <si>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</si>
  <si>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</si>
  <si>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</si>
  <si>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</si>
  <si>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</si>
  <si>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</si>
  <si>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</si>
  <si>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</si>
  <si>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</si>
  <si>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</si>
  <si>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</si>
  <si>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</si>
  <si>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</si>
  <si>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</si>
  <si>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</si>
  <si>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</si>
  <si>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</si>
  <si>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</si>
  <si>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</si>
  <si>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</si>
  <si>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</si>
  <si>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</si>
  <si>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</si>
  <si>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</si>
  <si>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</si>
  <si>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</si>
  <si>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</si>
  <si>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</si>
  <si>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</si>
  <si>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</si>
  <si>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</si>
  <si>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</si>
  <si>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</si>
  <si>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</si>
  <si>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</si>
  <si>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</si>
  <si>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</si>
  <si>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</si>
  <si>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</si>
  <si>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</si>
  <si>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</si>
  <si>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</si>
  <si>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</si>
  <si>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</si>
  <si>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</si>
  <si>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</si>
  <si>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</si>
  <si>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</si>
  <si>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</si>
  <si>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</si>
  <si>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</si>
  <si>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</si>
  <si>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</si>
  <si>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</si>
  <si>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</si>
  <si>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</si>
  <si>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</si>
  <si>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</si>
  <si>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</si>
  <si>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</si>
  <si>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</si>
  <si>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</si>
  <si>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</si>
  <si>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</si>
  <si>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</si>
  <si>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</si>
  <si>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</si>
  <si>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</si>
  <si>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</si>
  <si>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Non-Freeway</t>
  </si>
  <si>
    <t>Hamblen Road</t>
  </si>
  <si>
    <t>Laurel Springs Ln</t>
  </si>
  <si>
    <t>Loop 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</si>
</sst>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wrapText="1"/>
      <protection locked="0"/>
    </xf>
    <xf numFmtId="0" fontId="0" fillId="3" borderId="1" xfId="0" applyFill="1" applyBorder="1" applyAlignment="1" applyProtection="1">
      <alignment horizontal="righ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6"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selection activeCell="B21" sqref="B21"/>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48" t="s">
        <v>234</v>
      </c>
      <c r="D6" s="8"/>
      <c r="E6" s="103" t="s">
        <v>187</v>
      </c>
    </row>
    <row r="7" spans="1:7" x14ac:dyDescent="0.25">
      <c r="A7" s="8" t="s">
        <v>98</v>
      </c>
      <c r="B7" s="149" t="s">
        <v>200</v>
      </c>
      <c r="D7" s="104"/>
      <c r="E7" s="103" t="s">
        <v>196</v>
      </c>
    </row>
    <row r="8" spans="1:7" x14ac:dyDescent="0.25">
      <c r="A8" s="8" t="s">
        <v>99</v>
      </c>
      <c r="B8" s="149" t="s">
        <v>233</v>
      </c>
      <c r="D8" s="105"/>
      <c r="E8" s="103" t="s">
        <v>216</v>
      </c>
    </row>
    <row r="9" spans="1:7" x14ac:dyDescent="0.25">
      <c r="A9" s="8" t="s">
        <v>100</v>
      </c>
      <c r="B9" s="149" t="s">
        <v>234</v>
      </c>
      <c r="D9" s="106"/>
      <c r="E9" s="103" t="s">
        <v>188</v>
      </c>
    </row>
    <row r="10" spans="1:7" x14ac:dyDescent="0.25">
      <c r="A10" s="8" t="s">
        <v>101</v>
      </c>
      <c r="B10" s="149" t="s">
        <v>236</v>
      </c>
    </row>
    <row r="11" spans="1:7" x14ac:dyDescent="0.25">
      <c r="A11" s="8" t="s">
        <v>102</v>
      </c>
      <c r="B11" s="149" t="s">
        <v>235</v>
      </c>
    </row>
    <row r="12" spans="1:7" x14ac:dyDescent="0.25">
      <c r="A12" s="8" t="s">
        <v>103</v>
      </c>
      <c r="B12" s="149">
        <v>0.64</v>
      </c>
    </row>
    <row r="13" spans="1:7" x14ac:dyDescent="0.25">
      <c r="A13" s="8" t="s">
        <v>68</v>
      </c>
      <c r="B13" s="137">
        <v>218</v>
      </c>
      <c r="F13" s="120"/>
    </row>
    <row r="14" spans="1:7" x14ac:dyDescent="0.25">
      <c r="A14" s="8" t="s">
        <v>69</v>
      </c>
      <c r="B14" s="137"/>
    </row>
    <row r="17" spans="1:7" x14ac:dyDescent="0.25">
      <c r="A17" s="119" t="s">
        <v>120</v>
      </c>
      <c r="E17" s="152" t="s">
        <v>231</v>
      </c>
      <c r="F17" s="153"/>
    </row>
    <row r="18" spans="1:7" x14ac:dyDescent="0.25">
      <c r="A18" s="8" t="s">
        <v>79</v>
      </c>
      <c r="B18" s="138">
        <v>2025</v>
      </c>
      <c r="E18" s="105" t="s">
        <v>232</v>
      </c>
      <c r="F18" s="144">
        <f>$B$12/$B$32</f>
        <v>2.0645161290322581E-2</v>
      </c>
    </row>
    <row r="19" spans="1:7" ht="30" x14ac:dyDescent="0.25">
      <c r="A19" s="8" t="s">
        <v>121</v>
      </c>
      <c r="B19" s="139" t="s">
        <v>128</v>
      </c>
      <c r="E19" s="107" t="s">
        <v>212</v>
      </c>
      <c r="F19" s="145">
        <f>$B$12/$B$33</f>
        <v>0.04</v>
      </c>
    </row>
    <row r="20" spans="1:7" ht="30" x14ac:dyDescent="0.25">
      <c r="A20" s="135" t="s">
        <v>208</v>
      </c>
      <c r="B20" s="136">
        <f>VLOOKUP(B19,'Delay Reduction Factors'!B4:C80,2, FALSE)</f>
        <v>0.4</v>
      </c>
      <c r="E20" s="107" t="s">
        <v>209</v>
      </c>
      <c r="F20" s="144">
        <f>$F$19-$F$18</f>
        <v>1.935483870967742E-2</v>
      </c>
    </row>
    <row r="21" spans="1:7" x14ac:dyDescent="0.25">
      <c r="A21" s="8" t="s">
        <v>104</v>
      </c>
      <c r="B21" s="79">
        <v>20</v>
      </c>
      <c r="D21" s="121"/>
      <c r="E21" s="105" t="s">
        <v>210</v>
      </c>
      <c r="F21" s="144">
        <f>$F$20*$B$20</f>
        <v>7.7419354838709686E-3</v>
      </c>
      <c r="G21" s="122"/>
    </row>
    <row r="22" spans="1:7" s="113" customFormat="1" x14ac:dyDescent="0.25">
      <c r="D22" s="121"/>
      <c r="E22" s="105" t="s">
        <v>211</v>
      </c>
      <c r="F22" s="144">
        <f>$F$20-$F$21</f>
        <v>1.1612903225806451E-2</v>
      </c>
      <c r="G22" s="122"/>
    </row>
    <row r="23" spans="1:7" x14ac:dyDescent="0.25">
      <c r="E23" s="105" t="s">
        <v>213</v>
      </c>
      <c r="F23" s="144">
        <f>$F$18+$F$22</f>
        <v>3.2258064516129031E-2</v>
      </c>
    </row>
    <row r="24" spans="1:7" x14ac:dyDescent="0.25">
      <c r="A24" s="119" t="s">
        <v>94</v>
      </c>
      <c r="B24" s="123"/>
      <c r="D24" s="121"/>
      <c r="G24" s="124"/>
    </row>
    <row r="25" spans="1:7" x14ac:dyDescent="0.25">
      <c r="A25" s="8" t="s">
        <v>218</v>
      </c>
      <c r="B25" s="140">
        <f>ROUND(10916*(1+(0.015*2)),0)</f>
        <v>11243</v>
      </c>
      <c r="D25" s="121"/>
      <c r="G25" s="124"/>
    </row>
    <row r="28" spans="1:7" x14ac:dyDescent="0.25">
      <c r="A28" s="105" t="s">
        <v>227</v>
      </c>
      <c r="B28" s="134">
        <f>IF(FacilityType='Delay Reduction Factors'!N5,'Inputs &amp; Outputs'!B25*45%, B25*43%)</f>
        <v>4834.49</v>
      </c>
      <c r="D28" s="121"/>
      <c r="E28" s="125" t="s">
        <v>95</v>
      </c>
      <c r="F28" s="126" t="s">
        <v>20</v>
      </c>
      <c r="G28" s="127" t="s">
        <v>19</v>
      </c>
    </row>
    <row r="29" spans="1:7" x14ac:dyDescent="0.25">
      <c r="A29" s="105" t="s">
        <v>228</v>
      </c>
      <c r="B29" s="115">
        <f>VLOOKUP(Year_Open_to_Traffic?,Calculations!H4:I36,2)</f>
        <v>6306.0000000000027</v>
      </c>
      <c r="D29" s="121"/>
      <c r="E29" s="107" t="s">
        <v>122</v>
      </c>
      <c r="F29" s="101">
        <f>$B$29*$F$23</f>
        <v>203.41935483870975</v>
      </c>
      <c r="G29" s="102">
        <f>$B$29*$F$19</f>
        <v>252.24000000000012</v>
      </c>
    </row>
    <row r="30" spans="1:7" x14ac:dyDescent="0.25">
      <c r="A30" s="124"/>
      <c r="B30" s="100"/>
      <c r="D30" s="121"/>
    </row>
    <row r="32" spans="1:7" x14ac:dyDescent="0.25">
      <c r="A32" s="128" t="s">
        <v>221</v>
      </c>
      <c r="B32" s="141">
        <v>31</v>
      </c>
      <c r="D32" s="121"/>
    </row>
    <row r="33" spans="1:7" ht="30" x14ac:dyDescent="0.25">
      <c r="A33" s="129" t="s">
        <v>222</v>
      </c>
      <c r="B33" s="142">
        <v>16</v>
      </c>
      <c r="D33" s="121"/>
      <c r="E33" s="121"/>
      <c r="F33" s="130"/>
      <c r="G33" s="117"/>
    </row>
    <row r="34" spans="1:7" x14ac:dyDescent="0.25">
      <c r="A34" s="131"/>
      <c r="B34" s="143"/>
      <c r="E34" s="117"/>
      <c r="F34" s="130"/>
      <c r="G34" s="130"/>
    </row>
    <row r="35" spans="1:7" x14ac:dyDescent="0.25">
      <c r="A35" s="105" t="s">
        <v>223</v>
      </c>
      <c r="B35" s="147">
        <f>$B$28</f>
        <v>4834.49</v>
      </c>
    </row>
    <row r="36" spans="1:7" x14ac:dyDescent="0.25">
      <c r="A36" s="128" t="s">
        <v>224</v>
      </c>
      <c r="B36" s="141">
        <v>11015</v>
      </c>
    </row>
    <row r="37" spans="1:7" x14ac:dyDescent="0.25">
      <c r="A37" s="128" t="s">
        <v>229</v>
      </c>
      <c r="B37" s="141">
        <v>6306</v>
      </c>
    </row>
    <row r="38" spans="1:7" x14ac:dyDescent="0.25">
      <c r="A38" s="128" t="s">
        <v>225</v>
      </c>
      <c r="B38" s="141">
        <v>18443</v>
      </c>
    </row>
    <row r="39" spans="1:7" x14ac:dyDescent="0.25">
      <c r="A39" s="128" t="s">
        <v>230</v>
      </c>
      <c r="B39" s="141">
        <v>6571</v>
      </c>
    </row>
    <row r="40" spans="1:7" x14ac:dyDescent="0.25">
      <c r="A40" s="128" t="s">
        <v>226</v>
      </c>
      <c r="B40" s="141">
        <v>18443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3133.9109024290915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52889.032258064537</v>
      </c>
      <c r="F4" s="22">
        <f>'Inputs &amp; Outputs'!G29*Annual_Days_of_Travel</f>
        <v>65582.400000000038</v>
      </c>
      <c r="H4" s="59">
        <v>2018</v>
      </c>
      <c r="I4" s="60">
        <f>'Inputs &amp; Outputs'!B28</f>
        <v>4834.49</v>
      </c>
      <c r="J4" s="60">
        <f>IF(H4=Year_Open_to_Traffic?,$F$4,0)</f>
        <v>0</v>
      </c>
      <c r="K4" s="60">
        <f>IF(H4=Year_Open_to_Traffic?,Calculations!$E$4,0)</f>
        <v>0</v>
      </c>
      <c r="L4" s="60">
        <f>IF(AND(H4&gt;=Year_Open_to_Traffic?, Calculations!H4&lt;Year_Open_to_Traffic?+'Inputs &amp; Outputs'!B$21), 1, 0)</f>
        <v>0</v>
      </c>
      <c r="M4" s="81" t="s">
        <v>75</v>
      </c>
      <c r="N4" s="82">
        <f>MIN(E8,1)</f>
        <v>0.43890059010440308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3.8690562694880359E-2</v>
      </c>
      <c r="F5" s="28"/>
      <c r="H5" s="15">
        <f t="shared" ref="H5:H36" si="3">H4+1</f>
        <v>2019</v>
      </c>
      <c r="I5" s="97">
        <f>(I4*M5)+I4</f>
        <v>5021.5391384427721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3.8690562694880359E-2</v>
      </c>
      <c r="N5" s="87">
        <f t="shared" ref="N5:N11" si="6">N4*(1+IFERROR(_2018_2025_V_C_Growth,_2018_2045_V_C_Growth))</f>
        <v>0.42352026761985229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2.0603429352519242E-3</v>
      </c>
      <c r="F6" s="28"/>
      <c r="H6" s="59">
        <f t="shared" si="3"/>
        <v>2020</v>
      </c>
      <c r="I6" s="97">
        <f t="shared" ref="I6:I36" si="10">(I5*M6)+I5</f>
        <v>5215.8253133034877</v>
      </c>
      <c r="J6" s="60">
        <f t="shared" si="4"/>
        <v>0</v>
      </c>
      <c r="K6" s="60">
        <f>IF(H6=Year_Open_to_Traffic?,Calculations!$E$4,K5+(K5*M6))</f>
        <v>0</v>
      </c>
      <c r="L6" s="60">
        <f>IF(AND(H6&gt;=Year_Open_to_Traffic?, Calculations!H6&lt;Year_Open_to_Traffic?+'Inputs &amp; Outputs'!B$21), 1, 0)</f>
        <v>0</v>
      </c>
      <c r="M6" s="81">
        <f t="shared" si="5"/>
        <v>3.8690562694880359E-2</v>
      </c>
      <c r="N6" s="87">
        <f t="shared" si="6"/>
        <v>0.40867891529178385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1.1431152518317944E-2</v>
      </c>
      <c r="F7" s="28"/>
      <c r="H7" s="15">
        <f t="shared" si="3"/>
        <v>2021</v>
      </c>
      <c r="I7" s="97">
        <f t="shared" si="10"/>
        <v>5417.6285295934003</v>
      </c>
      <c r="J7" s="60">
        <f t="shared" si="4"/>
        <v>0</v>
      </c>
      <c r="K7" s="60">
        <f>IF(H7=Year_Open_to_Traffic?,Calculations!$E$4,K6+(K6*M7))</f>
        <v>0</v>
      </c>
      <c r="L7" s="60">
        <f>IF(AND(H7&gt;=Year_Open_to_Traffic?, Calculations!H7&lt;Year_Open_to_Traffic?+'Inputs &amp; Outputs'!B$21), 1, 0)</f>
        <v>0</v>
      </c>
      <c r="M7" s="81">
        <f t="shared" si="5"/>
        <v>3.8690562694880359E-2</v>
      </c>
      <c r="N7" s="87">
        <f t="shared" si="6"/>
        <v>0.39435764607606266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0.43890059010440308</v>
      </c>
      <c r="F8" s="28"/>
      <c r="H8" s="59">
        <f t="shared" si="3"/>
        <v>2022</v>
      </c>
      <c r="I8" s="97">
        <f t="shared" si="10"/>
        <v>5627.239625875206</v>
      </c>
      <c r="J8" s="60">
        <f t="shared" si="4"/>
        <v>0</v>
      </c>
      <c r="K8" s="60">
        <f>IF(H8=Year_Open_to_Traffic?,Calculations!$E$4,K7+(K7*M8))</f>
        <v>0</v>
      </c>
      <c r="L8" s="60">
        <f>IF(AND(H8&gt;=Year_Open_to_Traffic?, Calculations!H8&lt;Year_Open_to_Traffic?+'Inputs &amp; Outputs'!B$21), 1, 0)</f>
        <v>0</v>
      </c>
      <c r="M8" s="81">
        <f t="shared" si="5"/>
        <v>3.8690562694880359E-2</v>
      </c>
      <c r="N8" s="87">
        <f t="shared" si="6"/>
        <v>0.38053823478419035</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0.3419183430027653</v>
      </c>
      <c r="F9" s="28"/>
      <c r="H9" s="15">
        <f t="shared" si="3"/>
        <v>2023</v>
      </c>
      <c r="I9" s="97">
        <f t="shared" si="10"/>
        <v>5844.9606934192461</v>
      </c>
      <c r="J9" s="60">
        <f t="shared" si="4"/>
        <v>0</v>
      </c>
      <c r="K9" s="60">
        <f>IF(H9=Year_Open_to_Traffic?,Calculations!$E$4,K8+(K8*M9))</f>
        <v>0</v>
      </c>
      <c r="L9" s="60">
        <f>IF(AND(H9&gt;=Year_Open_to_Traffic?, Calculations!H9&lt;Year_Open_to_Traffic?+'Inputs &amp; Outputs'!B$21), 1, 0)</f>
        <v>0</v>
      </c>
      <c r="M9" s="81">
        <f t="shared" si="5"/>
        <v>3.8690562694880359E-2</v>
      </c>
      <c r="N9" s="87">
        <f t="shared" si="6"/>
        <v>0.36720309489000535</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0.35628693813370926</v>
      </c>
      <c r="F10" s="28"/>
      <c r="H10" s="59">
        <f t="shared" si="3"/>
        <v>2024</v>
      </c>
      <c r="I10" s="97">
        <f t="shared" si="10"/>
        <v>6071.1055115770951</v>
      </c>
      <c r="J10" s="60">
        <f t="shared" si="4"/>
        <v>0</v>
      </c>
      <c r="K10" s="60">
        <f>IF(H10=Year_Open_to_Traffic?,Calculations!$E$4,K9+(K9*M10))</f>
        <v>0</v>
      </c>
      <c r="L10" s="60">
        <f>IF(AND(H10&gt;=Year_Open_to_Traffic?, Calculations!H10&lt;Year_Open_to_Traffic?+'Inputs &amp; Outputs'!B$21), 1, 0)</f>
        <v>0</v>
      </c>
      <c r="M10" s="81">
        <f t="shared" si="5"/>
        <v>3.8690562694880359E-2</v>
      </c>
      <c r="N10" s="87">
        <f t="shared" si="6"/>
        <v>0.35433525614914163</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4" t="s">
        <v>219</v>
      </c>
      <c r="B11" s="155"/>
      <c r="D11" s="18" t="s">
        <v>70</v>
      </c>
      <c r="E11" s="46">
        <f>(E9/E8)^(1/(2025-2018))-1</f>
        <v>-3.5042838472584936E-2</v>
      </c>
      <c r="F11" s="28"/>
      <c r="H11" s="15">
        <f t="shared" si="3"/>
        <v>2025</v>
      </c>
      <c r="I11" s="97">
        <f t="shared" si="10"/>
        <v>6306.0000000000027</v>
      </c>
      <c r="J11" s="60">
        <f t="shared" si="4"/>
        <v>65582.400000000038</v>
      </c>
      <c r="K11" s="60">
        <f>IF(H11=Year_Open_to_Traffic?,Calculations!$E$4,K10+(K10*M11))</f>
        <v>52889.032258064537</v>
      </c>
      <c r="L11" s="60">
        <f>IF(AND(H11&gt;=Year_Open_to_Traffic?, Calculations!H11&lt;Year_Open_to_Traffic?+'Inputs &amp; Outputs'!B$21), 1, 0)</f>
        <v>1</v>
      </c>
      <c r="M11" s="81">
        <f t="shared" si="5"/>
        <v>3.8690562694880359E-2</v>
      </c>
      <c r="N11" s="87">
        <f t="shared" si="6"/>
        <v>0.34191834300276525</v>
      </c>
      <c r="O11" s="88">
        <f t="shared" si="7"/>
        <v>1</v>
      </c>
      <c r="P11" s="84">
        <f t="shared" si="8"/>
        <v>12693.367741935501</v>
      </c>
      <c r="Q11" s="85">
        <f t="shared" si="0"/>
        <v>1</v>
      </c>
      <c r="R11" s="86">
        <f t="shared" si="1"/>
        <v>20.787565583925574</v>
      </c>
      <c r="S11" s="94">
        <f t="shared" si="2"/>
        <v>366.77125803875356</v>
      </c>
      <c r="T11" s="80">
        <f t="shared" si="9"/>
        <v>228.40670627432053</v>
      </c>
      <c r="W11" s="73"/>
    </row>
    <row r="12" spans="1:24" x14ac:dyDescent="0.25">
      <c r="A12" s="18" t="s">
        <v>205</v>
      </c>
      <c r="B12" s="19">
        <v>0.45</v>
      </c>
      <c r="D12" s="18" t="s">
        <v>83</v>
      </c>
      <c r="E12" s="46">
        <f>(E10/E9)^(1/(2045-2025))-1</f>
        <v>2.0603429352519242E-3</v>
      </c>
      <c r="F12" s="28"/>
      <c r="H12" s="59">
        <v>2026</v>
      </c>
      <c r="I12" s="97">
        <f t="shared" si="10"/>
        <v>6318.9925225497018</v>
      </c>
      <c r="J12" s="60">
        <f t="shared" si="4"/>
        <v>65717.522234516902</v>
      </c>
      <c r="K12" s="60">
        <f>IF(H12=Year_Open_to_Traffic?,Calculations!$E$4,K11+(K11*M12))</f>
        <v>52998.00180202975</v>
      </c>
      <c r="L12" s="60">
        <f>IF(AND(H12&gt;=Year_Open_to_Traffic?, Calculations!H12&lt;Year_Open_to_Traffic?+'Inputs &amp; Outputs'!B$21), 1, 0)</f>
        <v>1</v>
      </c>
      <c r="M12" s="81">
        <f t="shared" ref="M12:M36" si="11">IFERROR(_2025_2045_Demand_Growth,_2018_2045_Demand_Growth)</f>
        <v>2.0603429352519242E-3</v>
      </c>
      <c r="N12" s="87">
        <f t="shared" ref="N12:N36" si="12">N11*(1+IFERROR(_2025_2045_V_C_Growth,_2018_2045_V_C_Growth))</f>
        <v>0.34262281204520406</v>
      </c>
      <c r="O12" s="88">
        <f t="shared" si="7"/>
        <v>1</v>
      </c>
      <c r="P12" s="84">
        <f t="shared" si="8"/>
        <v>12719.520432487152</v>
      </c>
      <c r="Q12" s="85">
        <f t="shared" si="0"/>
        <v>1</v>
      </c>
      <c r="R12" s="86">
        <f t="shared" si="1"/>
        <v>21.265679592355859</v>
      </c>
      <c r="S12" s="94">
        <f t="shared" si="2"/>
        <v>375.98005205911653</v>
      </c>
      <c r="T12" s="80">
        <f t="shared" si="9"/>
        <v>218.82381343324295</v>
      </c>
      <c r="W12" s="73"/>
    </row>
    <row r="13" spans="1:24" x14ac:dyDescent="0.25">
      <c r="A13" s="18" t="s">
        <v>206</v>
      </c>
      <c r="B13" s="19">
        <v>0.43</v>
      </c>
      <c r="D13" s="18" t="s">
        <v>84</v>
      </c>
      <c r="E13" s="46">
        <f>(E10/E8)^(1/(2045-2018))-1</f>
        <v>-7.6938249835667438E-3</v>
      </c>
      <c r="F13" s="28"/>
      <c r="H13" s="15">
        <f t="shared" si="3"/>
        <v>2027</v>
      </c>
      <c r="I13" s="97">
        <f t="shared" si="10"/>
        <v>6332.0118141514467</v>
      </c>
      <c r="J13" s="60">
        <f t="shared" si="4"/>
        <v>65852.922867175046</v>
      </c>
      <c r="K13" s="60">
        <f>IF(H13=Year_Open_to_Traffic?,Calculations!$E$4,K12+(K12*M13))</f>
        <v>53107.195860625034</v>
      </c>
      <c r="L13" s="60">
        <f>IF(AND(H13&gt;=Year_Open_to_Traffic?, Calculations!H13&lt;Year_Open_to_Traffic?+'Inputs &amp; Outputs'!B$21), 1, 0)</f>
        <v>1</v>
      </c>
      <c r="M13" s="81">
        <f t="shared" si="11"/>
        <v>2.0603429352519242E-3</v>
      </c>
      <c r="N13" s="87">
        <f t="shared" si="12"/>
        <v>0.34332873253545754</v>
      </c>
      <c r="O13" s="88">
        <f t="shared" si="7"/>
        <v>1</v>
      </c>
      <c r="P13" s="84">
        <f t="shared" si="8"/>
        <v>12745.727006550012</v>
      </c>
      <c r="Q13" s="85">
        <f t="shared" si="0"/>
        <v>1</v>
      </c>
      <c r="R13" s="86">
        <f t="shared" si="1"/>
        <v>21.754790222980041</v>
      </c>
      <c r="S13" s="94">
        <f t="shared" si="2"/>
        <v>385.42005800094495</v>
      </c>
      <c r="T13" s="80">
        <f t="shared" si="9"/>
        <v>209.6429746154534</v>
      </c>
      <c r="W13" s="73"/>
    </row>
    <row r="14" spans="1:24" x14ac:dyDescent="0.25">
      <c r="H14" s="59">
        <f>H13+1</f>
        <v>2028</v>
      </c>
      <c r="I14" s="97">
        <f t="shared" si="10"/>
        <v>6345.0579299586652</v>
      </c>
      <c r="J14" s="60">
        <f t="shared" si="4"/>
        <v>65988.602471570121</v>
      </c>
      <c r="K14" s="60">
        <f>IF(H14=Year_Open_to_Traffic?,Calculations!$E$4,K13+(K13*M14))</f>
        <v>53216.614896427513</v>
      </c>
      <c r="L14" s="60">
        <f>IF(AND(H14&gt;=Year_Open_to_Traffic?, Calculations!H14&lt;Year_Open_to_Traffic?+'Inputs &amp; Outputs'!B$21), 1, 0)</f>
        <v>1</v>
      </c>
      <c r="M14" s="81">
        <f t="shared" si="11"/>
        <v>2.0603429352519242E-3</v>
      </c>
      <c r="N14" s="87">
        <f t="shared" si="12"/>
        <v>0.34403610746400598</v>
      </c>
      <c r="O14" s="88">
        <f t="shared" si="7"/>
        <v>1</v>
      </c>
      <c r="P14" s="84">
        <f t="shared" si="8"/>
        <v>12771.987575142608</v>
      </c>
      <c r="Q14" s="85">
        <f t="shared" si="0"/>
        <v>1</v>
      </c>
      <c r="R14" s="86">
        <f t="shared" si="1"/>
        <v>22.255150398108579</v>
      </c>
      <c r="S14" s="94">
        <f t="shared" si="2"/>
        <v>395.09708107092621</v>
      </c>
      <c r="T14" s="80">
        <f t="shared" si="9"/>
        <v>200.84732148689855</v>
      </c>
      <c r="W14" s="73"/>
    </row>
    <row r="15" spans="1:24" x14ac:dyDescent="0.25">
      <c r="H15" s="15">
        <f t="shared" si="3"/>
        <v>2029</v>
      </c>
      <c r="I15" s="97">
        <f t="shared" si="10"/>
        <v>6358.1309252384199</v>
      </c>
      <c r="J15" s="60">
        <f t="shared" si="4"/>
        <v>66124.561622479567</v>
      </c>
      <c r="K15" s="60">
        <f>IF(H15=Year_Open_to_Traffic?,Calculations!$E$4,K14+(K14*M15))</f>
        <v>53326.25937296739</v>
      </c>
      <c r="L15" s="60">
        <f>IF(AND(H15&gt;=Year_Open_to_Traffic?, Calculations!H15&lt;Year_Open_to_Traffic?+'Inputs &amp; Outputs'!B$21), 1, 0)</f>
        <v>1</v>
      </c>
      <c r="M15" s="81">
        <f t="shared" si="11"/>
        <v>2.0603429352519242E-3</v>
      </c>
      <c r="N15" s="87">
        <f t="shared" si="12"/>
        <v>0.34474493982749099</v>
      </c>
      <c r="O15" s="88">
        <f t="shared" si="7"/>
        <v>1</v>
      </c>
      <c r="P15" s="84">
        <f t="shared" si="8"/>
        <v>12798.302249512177</v>
      </c>
      <c r="Q15" s="85">
        <f t="shared" si="0"/>
        <v>1</v>
      </c>
      <c r="R15" s="86">
        <f t="shared" si="1"/>
        <v>22.767018857265079</v>
      </c>
      <c r="S15" s="94">
        <f t="shared" si="2"/>
        <v>405.01707223131427</v>
      </c>
      <c r="T15" s="80">
        <f t="shared" si="9"/>
        <v>192.42069343108827</v>
      </c>
      <c r="W15" s="73"/>
    </row>
    <row r="16" spans="1:24" x14ac:dyDescent="0.25">
      <c r="H16" s="59">
        <f t="shared" si="3"/>
        <v>2030</v>
      </c>
      <c r="I16" s="97">
        <f t="shared" si="10"/>
        <v>6371.2308553716421</v>
      </c>
      <c r="J16" s="60">
        <f t="shared" si="4"/>
        <v>66260.800895865075</v>
      </c>
      <c r="K16" s="60">
        <f>IF(H16=Year_Open_to_Traffic?,Calculations!$E$4,K15+(K15*M16))</f>
        <v>53436.129754729896</v>
      </c>
      <c r="L16" s="60">
        <f>IF(AND(H16&gt;=Year_Open_to_Traffic?, Calculations!H16&lt;Year_Open_to_Traffic?+'Inputs &amp; Outputs'!B$21), 1, 0)</f>
        <v>1</v>
      </c>
      <c r="M16" s="81">
        <f t="shared" si="11"/>
        <v>2.0603429352519242E-3</v>
      </c>
      <c r="N16" s="87">
        <f t="shared" si="12"/>
        <v>0.3454552326287284</v>
      </c>
      <c r="O16" s="88">
        <f t="shared" si="7"/>
        <v>1</v>
      </c>
      <c r="P16" s="84">
        <f t="shared" si="8"/>
        <v>12824.671141135179</v>
      </c>
      <c r="Q16" s="85">
        <f t="shared" si="0"/>
        <v>1</v>
      </c>
      <c r="R16" s="86">
        <f t="shared" si="1"/>
        <v>23.290660290982171</v>
      </c>
      <c r="S16" s="94">
        <f t="shared" si="2"/>
        <v>415.18613185952154</v>
      </c>
      <c r="T16" s="80">
        <f t="shared" si="9"/>
        <v>184.34760785652841</v>
      </c>
      <c r="W16" s="73"/>
    </row>
    <row r="17" spans="1:23" x14ac:dyDescent="0.25">
      <c r="A17" s="29"/>
      <c r="H17" s="15">
        <f t="shared" si="3"/>
        <v>2031</v>
      </c>
      <c r="I17" s="97">
        <f t="shared" si="10"/>
        <v>6384.3577758533665</v>
      </c>
      <c r="J17" s="60">
        <f t="shared" si="4"/>
        <v>66397.320868875002</v>
      </c>
      <c r="K17" s="60">
        <f>IF(H17=Year_Open_to_Traffic?,Calculations!$E$4,K16+(K16*M17))</f>
        <v>53546.226507157262</v>
      </c>
      <c r="L17" s="60">
        <f>IF(AND(H17&gt;=Year_Open_to_Traffic?, Calculations!H17&lt;Year_Open_to_Traffic?+'Inputs &amp; Outputs'!B$21), 1, 0)</f>
        <v>1</v>
      </c>
      <c r="M17" s="81">
        <f t="shared" si="11"/>
        <v>2.0603429352519242E-3</v>
      </c>
      <c r="N17" s="87">
        <f t="shared" si="12"/>
        <v>0.34616698887672082</v>
      </c>
      <c r="O17" s="88">
        <f t="shared" si="7"/>
        <v>1</v>
      </c>
      <c r="P17" s="84">
        <f t="shared" si="8"/>
        <v>12851.09436171774</v>
      </c>
      <c r="Q17" s="85">
        <f t="shared" si="0"/>
        <v>1</v>
      </c>
      <c r="R17" s="86">
        <f t="shared" si="1"/>
        <v>23.82634547767476</v>
      </c>
      <c r="S17" s="94">
        <f t="shared" si="2"/>
        <v>425.61051349959422</v>
      </c>
      <c r="T17" s="80">
        <f t="shared" si="9"/>
        <v>176.61323174991611</v>
      </c>
      <c r="W17" s="73"/>
    </row>
    <row r="18" spans="1:23" x14ac:dyDescent="0.25">
      <c r="H18" s="59">
        <f t="shared" si="3"/>
        <v>2032</v>
      </c>
      <c r="I18" s="97">
        <f t="shared" si="10"/>
        <v>6397.511742292967</v>
      </c>
      <c r="J18" s="60">
        <f t="shared" si="4"/>
        <v>66534.122119846841</v>
      </c>
      <c r="K18" s="60">
        <f>IF(H18=Year_Open_to_Traffic?,Calculations!$E$4,K17+(K17*M18))</f>
        <v>53656.550096650681</v>
      </c>
      <c r="L18" s="60">
        <f>IF(AND(H18&gt;=Year_Open_to_Traffic?, Calculations!H18&lt;Year_Open_to_Traffic?+'Inputs &amp; Outputs'!B$21), 1, 0)</f>
        <v>1</v>
      </c>
      <c r="M18" s="81">
        <f t="shared" si="11"/>
        <v>2.0603429352519242E-3</v>
      </c>
      <c r="N18" s="87">
        <f t="shared" si="12"/>
        <v>0.34688021158667037</v>
      </c>
      <c r="O18" s="88">
        <f t="shared" si="7"/>
        <v>1</v>
      </c>
      <c r="P18" s="84">
        <f t="shared" si="8"/>
        <v>12877.57202319616</v>
      </c>
      <c r="Q18" s="85">
        <f t="shared" si="0"/>
        <v>1</v>
      </c>
      <c r="R18" s="86">
        <f t="shared" si="1"/>
        <v>24.374351423661277</v>
      </c>
      <c r="S18" s="94">
        <f t="shared" si="2"/>
        <v>436.29662770787979</v>
      </c>
      <c r="T18" s="80">
        <f t="shared" si="9"/>
        <v>169.20335442283289</v>
      </c>
      <c r="W18" s="73"/>
    </row>
    <row r="19" spans="1:23" x14ac:dyDescent="0.25">
      <c r="H19" s="15">
        <f t="shared" si="3"/>
        <v>2033</v>
      </c>
      <c r="I19" s="97">
        <f t="shared" si="10"/>
        <v>6410.6928104143917</v>
      </c>
      <c r="J19" s="60">
        <f t="shared" si="4"/>
        <v>66671.205228309656</v>
      </c>
      <c r="K19" s="60">
        <f>IF(H19=Year_Open_to_Traffic?,Calculations!$E$4,K18+(K18*M19))</f>
        <v>53767.100990572304</v>
      </c>
      <c r="L19" s="60">
        <f>IF(AND(H19&gt;=Year_Open_to_Traffic?, Calculations!H19&lt;Year_Open_to_Traffic?+'Inputs &amp; Outputs'!B$21), 1, 0)</f>
        <v>1</v>
      </c>
      <c r="M19" s="81">
        <f t="shared" si="11"/>
        <v>2.0603429352519242E-3</v>
      </c>
      <c r="N19" s="87">
        <f t="shared" si="12"/>
        <v>0.34759490377999164</v>
      </c>
      <c r="O19" s="88">
        <f t="shared" si="7"/>
        <v>1</v>
      </c>
      <c r="P19" s="84">
        <f t="shared" si="8"/>
        <v>12904.104237737352</v>
      </c>
      <c r="Q19" s="85">
        <f t="shared" si="0"/>
        <v>1</v>
      </c>
      <c r="R19" s="86">
        <f t="shared" si="1"/>
        <v>24.934961506405479</v>
      </c>
      <c r="S19" s="94">
        <f t="shared" si="2"/>
        <v>447.25104599524832</v>
      </c>
      <c r="T19" s="80">
        <f t="shared" si="9"/>
        <v>162.10436140185968</v>
      </c>
      <c r="W19" s="73"/>
    </row>
    <row r="20" spans="1:23" x14ac:dyDescent="0.25">
      <c r="H20" s="59">
        <f t="shared" si="3"/>
        <v>2034</v>
      </c>
      <c r="I20" s="97">
        <f t="shared" si="10"/>
        <v>6423.9010360563989</v>
      </c>
      <c r="J20" s="60">
        <f t="shared" si="4"/>
        <v>66808.57077498654</v>
      </c>
      <c r="K20" s="60">
        <f>IF(H20=Year_Open_to_Traffic?,Calculations!$E$4,K19+(K19*M20))</f>
        <v>53877.879657247206</v>
      </c>
      <c r="L20" s="60">
        <f>IF(AND(H20&gt;=Year_Open_to_Traffic?, Calculations!H20&lt;Year_Open_to_Traffic?+'Inputs &amp; Outputs'!B$21), 1, 0)</f>
        <v>1</v>
      </c>
      <c r="M20" s="81">
        <f t="shared" si="11"/>
        <v>2.0603429352519242E-3</v>
      </c>
      <c r="N20" s="87">
        <f t="shared" si="12"/>
        <v>0.3483110684843243</v>
      </c>
      <c r="O20" s="88">
        <f t="shared" si="7"/>
        <v>1</v>
      </c>
      <c r="P20" s="84">
        <f t="shared" si="8"/>
        <v>12930.691117739334</v>
      </c>
      <c r="Q20" s="85">
        <f t="shared" si="0"/>
        <v>1</v>
      </c>
      <c r="R20" s="86">
        <f t="shared" si="1"/>
        <v>25.508465621052807</v>
      </c>
      <c r="S20" s="94">
        <f t="shared" si="2"/>
        <v>458.48050486829629</v>
      </c>
      <c r="T20" s="80">
        <f t="shared" si="9"/>
        <v>155.30320941414348</v>
      </c>
      <c r="W20" s="73"/>
    </row>
    <row r="21" spans="1:23" x14ac:dyDescent="0.25">
      <c r="H21" s="15">
        <f t="shared" si="3"/>
        <v>2035</v>
      </c>
      <c r="I21" s="97">
        <f t="shared" si="10"/>
        <v>6437.1364751727951</v>
      </c>
      <c r="J21" s="60">
        <f t="shared" si="4"/>
        <v>66946.219341797056</v>
      </c>
      <c r="K21" s="60">
        <f>IF(H21=Year_Open_to_Traffic?,Calculations!$E$4,K20+(K20*M21))</f>
        <v>53988.886565965367</v>
      </c>
      <c r="L21" s="60">
        <f>IF(AND(H21&gt;=Year_Open_to_Traffic?, Calculations!H21&lt;Year_Open_to_Traffic?+'Inputs &amp; Outputs'!B$21), 1, 0)</f>
        <v>1</v>
      </c>
      <c r="M21" s="81">
        <f t="shared" si="11"/>
        <v>2.0603429352519242E-3</v>
      </c>
      <c r="N21" s="87">
        <f t="shared" si="12"/>
        <v>0.34902870873354602</v>
      </c>
      <c r="O21" s="88">
        <f t="shared" si="7"/>
        <v>1</v>
      </c>
      <c r="P21" s="84">
        <f t="shared" si="8"/>
        <v>12957.332775831688</v>
      </c>
      <c r="Q21" s="85">
        <f t="shared" si="0"/>
        <v>1</v>
      </c>
      <c r="R21" s="86">
        <f t="shared" si="1"/>
        <v>26.095160330337016</v>
      </c>
      <c r="S21" s="94">
        <f t="shared" si="2"/>
        <v>469.99190997201356</v>
      </c>
      <c r="T21" s="80">
        <f t="shared" si="9"/>
        <v>148.78740242245314</v>
      </c>
      <c r="W21" s="73"/>
    </row>
    <row r="22" spans="1:23" x14ac:dyDescent="0.25">
      <c r="H22" s="59">
        <f>H21+1</f>
        <v>2036</v>
      </c>
      <c r="I22" s="97">
        <f t="shared" si="10"/>
        <v>6450.3991838326701</v>
      </c>
      <c r="J22" s="60">
        <f t="shared" si="4"/>
        <v>67084.15151185976</v>
      </c>
      <c r="K22" s="60">
        <f>IF(H22=Year_Open_to_Traffic?,Calculations!$E$4,K21+(K21*M22))</f>
        <v>54100.122186983674</v>
      </c>
      <c r="L22" s="60">
        <f>IF(AND(H22&gt;=Year_Open_to_Traffic?, Calculations!H22&lt;Year_Open_to_Traffic?+'Inputs &amp; Outputs'!B$21), 1, 0)</f>
        <v>1</v>
      </c>
      <c r="M22" s="81">
        <f t="shared" si="11"/>
        <v>2.0603429352519242E-3</v>
      </c>
      <c r="N22" s="87">
        <f t="shared" si="12"/>
        <v>0.34974782756778527</v>
      </c>
      <c r="O22" s="88">
        <f t="shared" si="7"/>
        <v>1</v>
      </c>
      <c r="P22" s="84">
        <f t="shared" si="8"/>
        <v>12984.029324876086</v>
      </c>
      <c r="Q22" s="85">
        <f t="shared" si="0"/>
        <v>1</v>
      </c>
      <c r="R22" s="86">
        <f t="shared" si="1"/>
        <v>26.695349017934767</v>
      </c>
      <c r="S22" s="94">
        <f t="shared" si="2"/>
        <v>481.79234033646713</v>
      </c>
      <c r="T22" s="80">
        <f t="shared" si="9"/>
        <v>142.54496866569551</v>
      </c>
      <c r="W22" s="73"/>
    </row>
    <row r="23" spans="1:23" x14ac:dyDescent="0.25">
      <c r="H23" s="15">
        <f t="shared" si="3"/>
        <v>2037</v>
      </c>
      <c r="I23" s="97">
        <f t="shared" si="10"/>
        <v>6463.6892182206348</v>
      </c>
      <c r="J23" s="60">
        <f t="shared" si="4"/>
        <v>67222.367869494585</v>
      </c>
      <c r="K23" s="60">
        <f>IF(H23=Year_Open_to_Traffic?,Calculations!$E$4,K22+(K22*M23))</f>
        <v>54211.586991527889</v>
      </c>
      <c r="L23" s="60">
        <f>IF(AND(H23&gt;=Year_Open_to_Traffic?, Calculations!H23&lt;Year_Open_to_Traffic?+'Inputs &amp; Outputs'!B$21), 1, 0)</f>
        <v>1</v>
      </c>
      <c r="M23" s="81">
        <f t="shared" si="11"/>
        <v>2.0603429352519242E-3</v>
      </c>
      <c r="N23" s="87">
        <f t="shared" si="12"/>
        <v>0.35046842803343425</v>
      </c>
      <c r="O23" s="88">
        <f t="shared" si="7"/>
        <v>1</v>
      </c>
      <c r="P23" s="84">
        <f t="shared" si="8"/>
        <v>13010.780877966696</v>
      </c>
      <c r="Q23" s="85">
        <f t="shared" si="0"/>
        <v>1</v>
      </c>
      <c r="R23" s="86">
        <f t="shared" si="1"/>
        <v>27.309342045347261</v>
      </c>
      <c r="S23" s="94">
        <f t="shared" si="2"/>
        <v>493.88905273010391</v>
      </c>
      <c r="T23" s="80">
        <f t="shared" si="9"/>
        <v>136.56443866270362</v>
      </c>
      <c r="W23" s="73"/>
    </row>
    <row r="24" spans="1:23" x14ac:dyDescent="0.25">
      <c r="H24" s="59">
        <f t="shared" si="3"/>
        <v>2038</v>
      </c>
      <c r="I24" s="97">
        <f t="shared" si="10"/>
        <v>6477.0066346370595</v>
      </c>
      <c r="J24" s="60">
        <f t="shared" si="4"/>
        <v>67360.869000225401</v>
      </c>
      <c r="K24" s="60">
        <f>IF(H24=Year_Open_to_Traffic?,Calculations!$E$4,K23+(K23*M24))</f>
        <v>54323.281451794675</v>
      </c>
      <c r="L24" s="60">
        <f>IF(AND(H24&gt;=Year_Open_to_Traffic?, Calculations!H24&lt;Year_Open_to_Traffic?+'Inputs &amp; Outputs'!B$21), 1, 0)</f>
        <v>1</v>
      </c>
      <c r="M24" s="81">
        <f t="shared" si="11"/>
        <v>2.0603429352519242E-3</v>
      </c>
      <c r="N24" s="87">
        <f t="shared" si="12"/>
        <v>0.3511905131831618</v>
      </c>
      <c r="O24" s="88">
        <f t="shared" si="7"/>
        <v>1</v>
      </c>
      <c r="P24" s="84">
        <f>(J24-K24)*L24</f>
        <v>13037.587548430725</v>
      </c>
      <c r="Q24" s="85">
        <f t="shared" si="0"/>
        <v>1</v>
      </c>
      <c r="R24" s="86">
        <f t="shared" si="1"/>
        <v>27.93745691239025</v>
      </c>
      <c r="S24" s="94">
        <f t="shared" si="2"/>
        <v>506.28948612236059</v>
      </c>
      <c r="T24" s="80">
        <f t="shared" si="9"/>
        <v>130.83482413888643</v>
      </c>
      <c r="W24" s="73"/>
    </row>
    <row r="25" spans="1:23" x14ac:dyDescent="0.25">
      <c r="H25" s="15">
        <f t="shared" si="3"/>
        <v>2039</v>
      </c>
      <c r="I25" s="97">
        <f t="shared" si="10"/>
        <v>6490.3514894983136</v>
      </c>
      <c r="J25" s="60">
        <f t="shared" si="4"/>
        <v>67499.655490782447</v>
      </c>
      <c r="K25" s="60">
        <f>IF(H25=Year_Open_to_Traffic?,Calculations!$E$4,K24+(K24*M25))</f>
        <v>54435.206040953584</v>
      </c>
      <c r="L25" s="60">
        <f>IF(AND(H25&gt;=Year_Open_to_Traffic?, Calculations!H25&lt;Year_Open_to_Traffic?+'Inputs &amp; Outputs'!B$21), 1, 0)</f>
        <v>1</v>
      </c>
      <c r="M25" s="81">
        <f t="shared" si="11"/>
        <v>2.0603429352519242E-3</v>
      </c>
      <c r="N25" s="87">
        <f t="shared" si="12"/>
        <v>0.35191408607592622</v>
      </c>
      <c r="O25" s="88">
        <f t="shared" si="7"/>
        <v>1</v>
      </c>
      <c r="P25" s="84">
        <f t="shared" si="8"/>
        <v>13064.449449828862</v>
      </c>
      <c r="Q25" s="85">
        <f t="shared" si="0"/>
        <v>1</v>
      </c>
      <c r="R25" s="86">
        <f t="shared" si="1"/>
        <v>28.580018421375218</v>
      </c>
      <c r="S25" s="94">
        <f t="shared" si="2"/>
        <v>519.00126625831547</v>
      </c>
      <c r="T25" s="80">
        <f t="shared" si="9"/>
        <v>125.34559783701779</v>
      </c>
      <c r="W25" s="73"/>
    </row>
    <row r="26" spans="1:23" x14ac:dyDescent="0.25">
      <c r="H26" s="59">
        <f t="shared" si="3"/>
        <v>2040</v>
      </c>
      <c r="I26" s="97">
        <f t="shared" si="10"/>
        <v>6503.7238393370035</v>
      </c>
      <c r="J26" s="60">
        <f t="shared" si="4"/>
        <v>67638.727929104818</v>
      </c>
      <c r="K26" s="60">
        <f>IF(H26=Year_Open_to_Traffic?,Calculations!$E$4,K25+(K25*M26))</f>
        <v>54547.361233149044</v>
      </c>
      <c r="L26" s="60">
        <f>IF(AND(H26&gt;=Year_Open_to_Traffic?, Calculations!H26&lt;Year_Open_to_Traffic?+'Inputs &amp; Outputs'!B$21), 1, 0)</f>
        <v>1</v>
      </c>
      <c r="M26" s="81">
        <f t="shared" si="11"/>
        <v>2.0603429352519242E-3</v>
      </c>
      <c r="N26" s="87">
        <f t="shared" si="12"/>
        <v>0.3526391497769884</v>
      </c>
      <c r="O26" s="88">
        <f t="shared" si="7"/>
        <v>1</v>
      </c>
      <c r="P26" s="84">
        <f t="shared" si="8"/>
        <v>13091.366695955774</v>
      </c>
      <c r="Q26" s="85">
        <f t="shared" si="0"/>
        <v>1</v>
      </c>
      <c r="R26" s="86">
        <f t="shared" si="1"/>
        <v>29.237358845066851</v>
      </c>
      <c r="S26" s="94">
        <f t="shared" si="2"/>
        <v>532.0322103482024</v>
      </c>
      <c r="T26" s="80">
        <f t="shared" si="9"/>
        <v>120.08667417507284</v>
      </c>
      <c r="W26" s="73"/>
    </row>
    <row r="27" spans="1:23" x14ac:dyDescent="0.25">
      <c r="H27" s="15">
        <f t="shared" si="3"/>
        <v>2041</v>
      </c>
      <c r="I27" s="97">
        <f t="shared" si="10"/>
        <v>6517.1237408022107</v>
      </c>
      <c r="J27" s="60">
        <f t="shared" si="4"/>
        <v>67778.08690434297</v>
      </c>
      <c r="K27" s="60">
        <f>IF(H27=Year_Open_to_Traffic?,Calculations!$E$4,K26+(K26*M27))</f>
        <v>54659.747503502396</v>
      </c>
      <c r="L27" s="60">
        <f>IF(AND(H27&gt;=Year_Open_to_Traffic?, Calculations!H27&lt;Year_Open_to_Traffic?+'Inputs &amp; Outputs'!B$21), 1, 0)</f>
        <v>1</v>
      </c>
      <c r="M27" s="81">
        <f t="shared" si="11"/>
        <v>2.0603429352519242E-3</v>
      </c>
      <c r="N27" s="87">
        <f t="shared" si="12"/>
        <v>0.35336570735792466</v>
      </c>
      <c r="O27" s="88">
        <f t="shared" si="7"/>
        <v>1</v>
      </c>
      <c r="P27" s="84">
        <f t="shared" si="8"/>
        <v>13118.339400840574</v>
      </c>
      <c r="Q27" s="85">
        <f t="shared" si="0"/>
        <v>1</v>
      </c>
      <c r="R27" s="86">
        <f t="shared" si="1"/>
        <v>29.909818098503379</v>
      </c>
      <c r="S27" s="94">
        <f t="shared" si="2"/>
        <v>545.39033187466418</v>
      </c>
      <c r="T27" s="80">
        <f t="shared" si="9"/>
        <v>115.0483907155713</v>
      </c>
      <c r="W27" s="73"/>
    </row>
    <row r="28" spans="1:23" x14ac:dyDescent="0.25">
      <c r="H28" s="59">
        <f t="shared" si="3"/>
        <v>2042</v>
      </c>
      <c r="I28" s="97">
        <f t="shared" si="10"/>
        <v>6530.5512506597352</v>
      </c>
      <c r="J28" s="60">
        <f t="shared" si="4"/>
        <v>67917.733006861221</v>
      </c>
      <c r="K28" s="60">
        <f>IF(H28=Year_Open_to_Traffic?,Calculations!$E$4,K27+(K27*M28))</f>
        <v>54772.36532811389</v>
      </c>
      <c r="L28" s="60">
        <f>IF(AND(H28&gt;=Year_Open_to_Traffic?, Calculations!H28&lt;Year_Open_to_Traffic?+'Inputs &amp; Outputs'!B$21), 1, 0)</f>
        <v>1</v>
      </c>
      <c r="M28" s="81">
        <f t="shared" si="11"/>
        <v>2.0603429352519242E-3</v>
      </c>
      <c r="N28" s="87">
        <f t="shared" si="12"/>
        <v>0.35409376189663988</v>
      </c>
      <c r="O28" s="88">
        <f t="shared" si="7"/>
        <v>1</v>
      </c>
      <c r="P28" s="84">
        <f t="shared" si="8"/>
        <v>13145.367678747331</v>
      </c>
      <c r="Q28" s="85">
        <f t="shared" si="0"/>
        <v>1</v>
      </c>
      <c r="R28" s="86">
        <f t="shared" si="1"/>
        <v>30.597743914768959</v>
      </c>
      <c r="S28" s="94">
        <f t="shared" si="2"/>
        <v>559.0838455207105</v>
      </c>
      <c r="T28" s="80">
        <f t="shared" si="9"/>
        <v>110.22149041238309</v>
      </c>
      <c r="W28" s="73"/>
    </row>
    <row r="29" spans="1:23" x14ac:dyDescent="0.25">
      <c r="H29" s="15">
        <f t="shared" si="3"/>
        <v>2043</v>
      </c>
      <c r="I29" s="97">
        <f t="shared" si="10"/>
        <v>6544.0064257923323</v>
      </c>
      <c r="J29" s="60">
        <f t="shared" si="4"/>
        <v>68057.666828240239</v>
      </c>
      <c r="K29" s="60">
        <f>IF(H29=Year_Open_to_Traffic?,Calculations!$E$4,K28+(K28*M29))</f>
        <v>54885.215184064706</v>
      </c>
      <c r="L29" s="60">
        <f>IF(AND(H29&gt;=Year_Open_to_Traffic?, Calculations!H29&lt;Year_Open_to_Traffic?+'Inputs &amp; Outputs'!B$21), 1, 0)</f>
        <v>1</v>
      </c>
      <c r="M29" s="81">
        <f t="shared" si="11"/>
        <v>2.0603429352519242E-3</v>
      </c>
      <c r="N29" s="87">
        <f t="shared" si="12"/>
        <v>0.35482331647738041</v>
      </c>
      <c r="O29" s="88">
        <f t="shared" si="7"/>
        <v>1</v>
      </c>
      <c r="P29" s="84">
        <f t="shared" si="8"/>
        <v>13172.451644175533</v>
      </c>
      <c r="Q29" s="85">
        <f t="shared" si="0"/>
        <v>1</v>
      </c>
      <c r="R29" s="86">
        <f t="shared" si="1"/>
        <v>31.301492024808638</v>
      </c>
      <c r="S29" s="94">
        <f t="shared" si="2"/>
        <v>573.12117222139966</v>
      </c>
      <c r="T29" s="80">
        <f t="shared" si="9"/>
        <v>105.59710460237471</v>
      </c>
      <c r="W29" s="73"/>
    </row>
    <row r="30" spans="1:23" x14ac:dyDescent="0.25">
      <c r="H30" s="15">
        <f t="shared" si="3"/>
        <v>2044</v>
      </c>
      <c r="I30" s="97">
        <f t="shared" si="10"/>
        <v>6557.4893231999567</v>
      </c>
      <c r="J30" s="60">
        <f t="shared" si="4"/>
        <v>68197.888961279532</v>
      </c>
      <c r="K30" s="60">
        <f>IF(H30=Year_Open_to_Traffic?,Calculations!$E$4,K29+(K29*M30))</f>
        <v>54998.297549418974</v>
      </c>
      <c r="L30" s="60">
        <f>IF(AND(H30&gt;=Year_Open_to_Traffic?, Calculations!H30&lt;Year_Open_to_Traffic?+'Inputs &amp; Outputs'!B$21), 1, 0)</f>
        <v>1</v>
      </c>
      <c r="M30" s="81">
        <f t="shared" si="11"/>
        <v>2.0603429352519242E-3</v>
      </c>
      <c r="N30" s="87">
        <f t="shared" si="12"/>
        <v>0.35555437419074726</v>
      </c>
      <c r="O30" s="88">
        <f t="shared" si="7"/>
        <v>1</v>
      </c>
      <c r="P30" s="84">
        <f t="shared" si="8"/>
        <v>13199.591411860558</v>
      </c>
      <c r="Q30" s="85">
        <f t="shared" si="0"/>
        <v>1</v>
      </c>
      <c r="R30" s="86">
        <f t="shared" si="1"/>
        <v>32.021426341379232</v>
      </c>
      <c r="S30" s="94">
        <f t="shared" si="2"/>
        <v>587.51094434236063</v>
      </c>
      <c r="T30" s="80">
        <f t="shared" si="9"/>
        <v>101.16673671064881</v>
      </c>
      <c r="W30" s="73"/>
    </row>
    <row r="31" spans="1:23" x14ac:dyDescent="0.25">
      <c r="H31" s="15">
        <f t="shared" si="3"/>
        <v>2045</v>
      </c>
      <c r="I31" s="97">
        <f t="shared" si="10"/>
        <v>6571.0000000000018</v>
      </c>
      <c r="J31" s="60">
        <f t="shared" si="4"/>
        <v>68338.399999999994</v>
      </c>
      <c r="K31" s="60">
        <f>IF(H31=Year_Open_to_Traffic?,Calculations!$E$4,K30+(K30*M31))</f>
        <v>55111.612903225803</v>
      </c>
      <c r="L31" s="60">
        <f>IF(AND(H31&gt;=Year_Open_to_Traffic?, Calculations!H31&lt;Year_Open_to_Traffic?+'Inputs &amp; Outputs'!B$21), 1, 0)</f>
        <v>0</v>
      </c>
      <c r="M31" s="81">
        <f t="shared" si="11"/>
        <v>2.0603429352519242E-3</v>
      </c>
      <c r="N31" s="87">
        <f t="shared" si="12"/>
        <v>0.3562869381337091</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6584.5385134275421</v>
      </c>
      <c r="J32" s="60">
        <f t="shared" si="4"/>
        <v>68479.200539646408</v>
      </c>
      <c r="K32" s="60">
        <f>IF(H32=Year_Open_to_Traffic?,Calculations!$E$4,K31+(K31*M32))</f>
        <v>55225.161725521306</v>
      </c>
      <c r="L32" s="60">
        <f>IF(AND(H32&gt;=Year_Open_to_Traffic?, Calculations!H32&lt;Year_Open_to_Traffic?+'Inputs &amp; Outputs'!B$21), 1, 0)</f>
        <v>0</v>
      </c>
      <c r="M32" s="81">
        <f t="shared" si="11"/>
        <v>2.0603429352519242E-3</v>
      </c>
      <c r="N32" s="87">
        <f t="shared" si="12"/>
        <v>0.3570210114096154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6598.1049208355771</v>
      </c>
      <c r="J33" s="60">
        <f t="shared" si="4"/>
        <v>68620.291176689963</v>
      </c>
      <c r="K33" s="60">
        <f>IF(H33=Year_Open_to_Traffic?,Calculations!$E$4,K32+(K32*M33))</f>
        <v>55338.944497330631</v>
      </c>
      <c r="L33" s="60">
        <f>IF(AND(H33&gt;=Year_Open_to_Traffic?, Calculations!H33&lt;Year_Open_to_Traffic?+'Inputs &amp; Outputs'!B$21), 1, 0)</f>
        <v>0</v>
      </c>
      <c r="M33" s="81">
        <f t="shared" si="11"/>
        <v>2.0603429352519242E-3</v>
      </c>
      <c r="N33" s="87">
        <f t="shared" si="12"/>
        <v>0.35775659712820967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6611.6992796952718</v>
      </c>
      <c r="J34" s="60">
        <f t="shared" si="4"/>
        <v>68761.672508830787</v>
      </c>
      <c r="K34" s="60">
        <f>IF(H34=Year_Open_to_Traffic?,Calculations!$E$4,K33+(K33*M34))</f>
        <v>55452.961700670006</v>
      </c>
      <c r="L34" s="60">
        <f>IF(AND(H34&gt;=Year_Open_to_Traffic?, Calculations!H34&lt;Year_Open_to_Traffic?+'Inputs &amp; Outputs'!B$21), 1, 0)</f>
        <v>0</v>
      </c>
      <c r="M34" s="81">
        <f t="shared" si="11"/>
        <v>2.0603429352519242E-3</v>
      </c>
      <c r="N34" s="87">
        <f t="shared" si="12"/>
        <v>0.35849369840564255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6625.3216475962026</v>
      </c>
      <c r="J35" s="60">
        <f t="shared" si="4"/>
        <v>68903.345135000462</v>
      </c>
      <c r="K35" s="60">
        <f>IF(H35=Year_Open_to_Traffic?,Calculations!$E$4,K34+(K34*M35))</f>
        <v>55567.213818548778</v>
      </c>
      <c r="L35" s="60">
        <f>IF(AND(H35&gt;=Year_Open_to_Traffic?, Calculations!H35&lt;Year_Open_to_Traffic?+'Inputs &amp; Outputs'!B$21), 1, 0)</f>
        <v>0</v>
      </c>
      <c r="M35" s="81">
        <f t="shared" si="11"/>
        <v>2.0603429352519242E-3</v>
      </c>
      <c r="N35" s="87">
        <f t="shared" si="12"/>
        <v>0.35923231836448494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6638.9720822465988</v>
      </c>
      <c r="J36" s="60">
        <f t="shared" si="4"/>
        <v>69045.309655364588</v>
      </c>
      <c r="K36" s="60">
        <f>IF(H36=Year_Open_to_Traffic?,Calculations!$E$4,K35+(K35*M36))</f>
        <v>55681.701334971462</v>
      </c>
      <c r="L36" s="60">
        <f>IF(AND(H36&gt;=Year_Open_to_Traffic?, Calculations!H36&lt;Year_Open_to_Traffic?+'Inputs &amp; Outputs'!B$21), 1, 0)</f>
        <v>0</v>
      </c>
      <c r="M36" s="81">
        <f t="shared" si="11"/>
        <v>2.0603429352519242E-3</v>
      </c>
      <c r="N36" s="87">
        <f t="shared" si="12"/>
        <v>0.3599724601337414</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3133.9109024290915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C11" sqref="C1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William Lisska</cp:lastModifiedBy>
  <cp:lastPrinted>2018-07-16T14:36:56Z</cp:lastPrinted>
  <dcterms:created xsi:type="dcterms:W3CDTF">2012-07-25T15:48:32Z</dcterms:created>
  <dcterms:modified xsi:type="dcterms:W3CDTF">2018-10-26T17:36:48Z</dcterms:modified>
</cp:coreProperties>
</file>