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RAFFIC\TLiu\Precinct 3\TIP Application\"/>
    </mc:Choice>
  </mc:AlternateContent>
  <bookViews>
    <workbookView xWindow="0" yWindow="0" windowWidth="21120" windowHeight="910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<sst xmlns="http://schemas.openxmlformats.org/spreadsheetml/2006/main" count="262" uniqueCount="130">
  <si>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</si>
  <si>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</si>
  <si>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</si>
  <si>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</si>
  <si>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</si>
  <si>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</si>
  <si>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</si>
  <si>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</si>
  <si>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</si>
  <si>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</si>
  <si>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</si>
  <si>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</si>
  <si>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</si>
  <si>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</si>
  <si>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</si>
  <si>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</si>
  <si>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</si>
  <si>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</si>
  <si>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</si>
  <si>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</si>
  <si>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</si>
  <si>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</si>
  <si>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</si>
  <si>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</si>
  <si>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</si>
  <si>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</si>
  <si>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</si>
  <si>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</si>
  <si>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</si>
  <si>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</si>
  <si>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</si>
  <si>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</si>
  <si>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</si>
  <si>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</si>
  <si>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</si>
  <si>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</si>
  <si>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</si>
  <si>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</si>
  <si>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</si>
  <si>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</si>
  <si>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</si>
  <si>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</si>
  <si>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</si>
  <si>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</si>
  <si>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</si>
  <si>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</si>
  <si>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</si>
  <si>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</si>
  <si>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</si>
  <si>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</si>
  <si>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</si>
  <si>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</si>
  <si>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</si>
  <si>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</si>
  <si>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</si>
  <si>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</si>
  <si>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</si>
  <si>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</si>
  <si>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</si>
  <si>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</si>
  <si>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</si>
  <si>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</si>
  <si>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</si>
  <si>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</si>
  <si>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</si>
  <si>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</si>
  <si>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</si>
  <si>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</si>
  <si>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</si>
  <si>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</si>
  <si>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</si>
  <si>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</si>
  <si>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</si>
  <si>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</si>
  <si>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</si>
  <si>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</si>
  <si>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</si>
  <si>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</si>
  <si>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</si>
  <si>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</si>
  <si>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</si>
  <si>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</si>
  <si>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</si>
  <si>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</si>
  <si>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</si>
  <si>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</si>
  <si>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</si>
  <si>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</si>
  <si>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</si>
  <si>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</si>
  <si>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</si>
  <si>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</si>
  <si>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</si>
  <si>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</si>
  <si>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</si>
  <si>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</si>
  <si>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</si>
  <si>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</si>
  <si>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</si>
  <si>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</si>
  <si>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</si>
  <si>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</si>
  <si>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</si>
  <si>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</si>
  <si>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</si>
  <si>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</si>
  <si>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</si>
  <si>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</si>
  <si>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</si>
  <si>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</si>
  <si>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</si>
  <si>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</si>
  <si>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</si>
  <si>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</si>
  <si>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</si>
  <si>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</si>
  <si>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</si>
  <si>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</si>
  <si>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</si>
  <si>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</si>
  <si>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</si>
  <si>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</si>
  <si>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</si>
  <si>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</si>
  <si>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</si>
  <si>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</si>
  <si>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</si>
  <si>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</si>
  <si>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</si>
  <si>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Fry Road/Cypress Rose Hill Road ITS Infrastructure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</si>
</sst>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0" fontId="0" fillId="2" borderId="1" xfId="0" applyFill="1" applyBorder="1" applyAlignment="1" applyProtection="1">
      <alignment horizontal="right" wrapText="1"/>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4" zoomScaleNormal="100" workbookViewId="0">
      <selection activeCell="F21" sqref="F21"/>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ht="90" x14ac:dyDescent="0.25">
      <c r="A6" s="6" t="s">
        <v>8</v>
      </c>
      <c r="B6" s="124" t="s">
        <v>129</v>
      </c>
      <c r="D6" s="6"/>
      <c r="E6" s="99" t="s">
        <v>91</v>
      </c>
    </row>
    <row r="7" spans="1:5" x14ac:dyDescent="0.25">
      <c r="A7" s="6" t="s">
        <v>51</v>
      </c>
      <c r="B7" s="6">
        <v>127</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123</v>
      </c>
    </row>
    <row r="15" spans="1:5" x14ac:dyDescent="0.25">
      <c r="A15" s="106" t="s">
        <v>87</v>
      </c>
      <c r="B15" s="57" t="s">
        <v>76</v>
      </c>
    </row>
    <row r="16" spans="1:5" x14ac:dyDescent="0.25">
      <c r="A16" s="106" t="s">
        <v>88</v>
      </c>
      <c r="B16" s="57">
        <v>12.7</v>
      </c>
    </row>
    <row r="17" spans="1:3" x14ac:dyDescent="0.25">
      <c r="A17" s="107" t="s">
        <v>95</v>
      </c>
      <c r="B17" s="57">
        <v>25</v>
      </c>
    </row>
    <row r="18" spans="1:3" x14ac:dyDescent="0.25">
      <c r="A18" s="107" t="s">
        <v>96</v>
      </c>
      <c r="B18" s="57">
        <v>35</v>
      </c>
    </row>
    <row r="19" spans="1:3" x14ac:dyDescent="0.25">
      <c r="A19" s="96" t="s">
        <v>97</v>
      </c>
      <c r="B19" s="97">
        <f>VLOOKUP(B14,'Service Life'!C6:D8,2,FALSE)</f>
        <v>12</v>
      </c>
    </row>
    <row r="21" spans="1:3" x14ac:dyDescent="0.25">
      <c r="A21" s="102" t="s">
        <v>89</v>
      </c>
    </row>
    <row r="22" spans="1:3" ht="20.25" customHeight="1" x14ac:dyDescent="0.25">
      <c r="A22" s="107" t="s">
        <v>90</v>
      </c>
      <c r="B22" s="119">
        <v>22492</v>
      </c>
    </row>
    <row r="23" spans="1:3" ht="30" x14ac:dyDescent="0.25">
      <c r="A23" s="118" t="s">
        <v>101</v>
      </c>
      <c r="B23" s="120">
        <v>31138</v>
      </c>
    </row>
    <row r="24" spans="1:3" ht="30" x14ac:dyDescent="0.25">
      <c r="A24" s="118" t="s">
        <v>102</v>
      </c>
      <c r="B24" s="120">
        <v>37006</v>
      </c>
    </row>
    <row r="27" spans="1:3" ht="18.75" x14ac:dyDescent="0.3">
      <c r="A27" s="100" t="s">
        <v>55</v>
      </c>
      <c r="B27" s="101"/>
    </row>
    <row r="29" spans="1:3" x14ac:dyDescent="0.25">
      <c r="A29" s="108" t="s">
        <v>53</v>
      </c>
    </row>
    <row r="30" spans="1:3" x14ac:dyDescent="0.25">
      <c r="A30" s="105" t="s">
        <v>112</v>
      </c>
      <c r="B30" s="114">
        <f>'Benefit Calculations'!M37</f>
        <v>39527.444411127108</v>
      </c>
    </row>
    <row r="31" spans="1:3" x14ac:dyDescent="0.25">
      <c r="A31" s="105" t="s">
        <v>113</v>
      </c>
      <c r="B31" s="114">
        <f>'Benefit Calculations'!Q37</f>
        <v>3318.2775290712689</v>
      </c>
      <c r="C31" s="109"/>
    </row>
    <row r="32" spans="1:3" x14ac:dyDescent="0.25">
      <c r="A32" s="110"/>
      <c r="B32" s="111"/>
      <c r="C32" s="109"/>
    </row>
    <row r="33" spans="1:9" x14ac:dyDescent="0.25">
      <c r="A33" s="108" t="s">
        <v>94</v>
      </c>
      <c r="B33" s="111"/>
      <c r="C33" s="109"/>
    </row>
    <row r="34" spans="1:9" x14ac:dyDescent="0.25">
      <c r="A34" s="105" t="s">
        <v>114</v>
      </c>
      <c r="B34" s="114">
        <f>$B$30+$B$31</f>
        <v>42845.721940198375</v>
      </c>
      <c r="C34" s="109"/>
    </row>
    <row r="35" spans="1:9" x14ac:dyDescent="0.25">
      <c r="I35" s="112"/>
    </row>
    <row r="36" spans="1:9" x14ac:dyDescent="0.25">
      <c r="A36" s="108" t="s">
        <v>107</v>
      </c>
    </row>
    <row r="37" spans="1:9" x14ac:dyDescent="0.25">
      <c r="A37" s="105" t="s">
        <v>116</v>
      </c>
      <c r="B37" s="115">
        <f>'Benefit Calculations'!K37</f>
        <v>9.2511347094160481</v>
      </c>
    </row>
    <row r="38" spans="1:9" x14ac:dyDescent="0.25">
      <c r="A38" s="105" t="s">
        <v>117</v>
      </c>
      <c r="B38" s="115">
        <f>'Benefit Calculations'!O37</f>
        <v>3.060823297721365</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22492</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23561.799276445323</v>
      </c>
      <c r="H5" s="79">
        <f>$C$9</f>
        <v>4.7563545991700318E-2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24682.481999977743</v>
      </c>
      <c r="H6" s="79">
        <f t="shared" ref="H6:H11" si="7">$C$9</f>
        <v>4.7563545991700318E-2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25856.468367772999</v>
      </c>
      <c r="H7" s="79">
        <f t="shared" si="7"/>
        <v>4.7563545991700318E-2</v>
      </c>
      <c r="I7" s="70">
        <f>IF(AND(F7&gt;='Inputs &amp; Outputs'!B$13,F7&lt;'Inputs &amp; Outputs'!B$13+'Inputs &amp; Outputs'!B$19),1,0)</f>
        <v>1</v>
      </c>
      <c r="J7" s="71">
        <f>I7*'Inputs &amp; Outputs'!B$16*'Benefit Calculations'!G7*('Benefit Calculations'!C$4-'Benefit Calculations'!C$5)</f>
        <v>2278.6755436895928</v>
      </c>
      <c r="K7" s="89">
        <f t="shared" si="3"/>
        <v>0.65307108740817088</v>
      </c>
      <c r="L7" s="72">
        <f>K7*'Assumed Values'!$C$8</f>
        <v>4903.2577242605466</v>
      </c>
      <c r="M7" s="73">
        <f t="shared" si="0"/>
        <v>4002.5188701625543</v>
      </c>
      <c r="N7" s="88">
        <f>I7*'Inputs &amp; Outputs'!B$16*'Benefit Calculations'!G7*('Benefit Calculations'!D$4-'Benefit Calculations'!D$5)</f>
        <v>753.92083362206881</v>
      </c>
      <c r="O7" s="89">
        <f t="shared" si="4"/>
        <v>0.21607459648950805</v>
      </c>
      <c r="P7" s="72">
        <f>ABS(O7*'Assumed Values'!$C$7)</f>
        <v>411.62210631251281</v>
      </c>
      <c r="Q7" s="73">
        <f t="shared" si="1"/>
        <v>336.00625146424477</v>
      </c>
      <c r="T7" s="85">
        <f t="shared" si="5"/>
        <v>0.59245564135929418</v>
      </c>
      <c r="U7" s="86">
        <f>T7*'Assumed Values'!$D$8</f>
        <v>0</v>
      </c>
    </row>
    <row r="8" spans="2:21" x14ac:dyDescent="0.25">
      <c r="B8" s="15" t="s">
        <v>17</v>
      </c>
      <c r="F8" s="70">
        <f t="shared" si="2"/>
        <v>2022</v>
      </c>
      <c r="G8" s="80">
        <f t="shared" si="6"/>
        <v>27086.293690166516</v>
      </c>
      <c r="H8" s="79">
        <f t="shared" si="7"/>
        <v>4.7563545991700318E-2</v>
      </c>
      <c r="I8" s="70">
        <f>IF(AND(F8&gt;='Inputs &amp; Outputs'!B$13,F8&lt;'Inputs &amp; Outputs'!B$13+'Inputs &amp; Outputs'!B$19),1,0)</f>
        <v>1</v>
      </c>
      <c r="J8" s="71">
        <f>I8*'Inputs &amp; Outputs'!B$16*'Benefit Calculations'!G8*('Benefit Calculations'!C$4-'Benefit Calculations'!C$5)</f>
        <v>2387.0574327120357</v>
      </c>
      <c r="K8" s="89">
        <f t="shared" si="3"/>
        <v>0.68413346410995934</v>
      </c>
      <c r="L8" s="72">
        <f>K8*'Assumed Values'!$C$8</f>
        <v>5136.4740485375751</v>
      </c>
      <c r="M8" s="73">
        <f t="shared" si="0"/>
        <v>3918.5914584356838</v>
      </c>
      <c r="N8" s="88">
        <f>I8*'Inputs &amp; Outputs'!B$16*'Benefit Calculations'!G8*('Benefit Calculations'!D$4-'Benefit Calculations'!D$5)</f>
        <v>789.77998186615321</v>
      </c>
      <c r="O8" s="89">
        <f t="shared" si="4"/>
        <v>0.2263518704972749</v>
      </c>
      <c r="P8" s="72">
        <f>ABS(O8*'Assumed Values'!$C$7)</f>
        <v>431.2003132973087</v>
      </c>
      <c r="Q8" s="73">
        <f t="shared" si="1"/>
        <v>328.96065444790963</v>
      </c>
      <c r="T8" s="85">
        <f t="shared" si="5"/>
        <v>0.62063493250512924</v>
      </c>
      <c r="U8" s="86">
        <f>T8*'Assumed Values'!$D$8</f>
        <v>0</v>
      </c>
    </row>
    <row r="9" spans="2:21" x14ac:dyDescent="0.25">
      <c r="B9" s="16" t="s">
        <v>104</v>
      </c>
      <c r="C9" s="67">
        <f>('Inputs &amp; Outputs'!B23/'Inputs &amp; Outputs'!B22)^(1/(2025-2018))-1</f>
        <v>4.7563545991700318E-2</v>
      </c>
      <c r="F9" s="70">
        <f t="shared" si="2"/>
        <v>2023</v>
      </c>
      <c r="G9" s="80">
        <f t="shared" si="6"/>
        <v>28374.613865843454</v>
      </c>
      <c r="H9" s="79">
        <f t="shared" si="7"/>
        <v>4.7563545991700318E-2</v>
      </c>
      <c r="I9" s="70">
        <f>IF(AND(F9&gt;='Inputs &amp; Outputs'!B$13,F9&lt;'Inputs &amp; Outputs'!B$13+'Inputs &amp; Outputs'!B$19),1,0)</f>
        <v>1</v>
      </c>
      <c r="J9" s="71">
        <f>I9*'Inputs &amp; Outputs'!B$16*'Benefit Calculations'!G9*('Benefit Calculations'!C$4-'Benefit Calculations'!C$5)</f>
        <v>2500.5943486976648</v>
      </c>
      <c r="K9" s="89">
        <f t="shared" si="3"/>
        <v>0.71667327759461452</v>
      </c>
      <c r="L9" s="72">
        <f>K9*'Assumed Values'!$C$8</f>
        <v>5380.782968180366</v>
      </c>
      <c r="M9" s="73">
        <f t="shared" si="0"/>
        <v>3836.4238911137122</v>
      </c>
      <c r="N9" s="88">
        <f>I9*'Inputs &amp; Outputs'!B$16*'Benefit Calculations'!G9*('Benefit Calculations'!D$4-'Benefit Calculations'!D$5)</f>
        <v>827.34471835696831</v>
      </c>
      <c r="O9" s="89">
        <f t="shared" si="4"/>
        <v>0.23711796809997945</v>
      </c>
      <c r="P9" s="72">
        <f>ABS(O9*'Assumed Values'!$C$7)</f>
        <v>451.70972923046088</v>
      </c>
      <c r="Q9" s="73">
        <f t="shared" si="1"/>
        <v>322.06279407962859</v>
      </c>
      <c r="T9" s="85">
        <f t="shared" si="5"/>
        <v>0.65015453066139284</v>
      </c>
      <c r="U9" s="86">
        <f>T9*'Assumed Values'!$D$8</f>
        <v>0</v>
      </c>
    </row>
    <row r="10" spans="2:21" x14ac:dyDescent="0.25">
      <c r="B10" s="16" t="s">
        <v>105</v>
      </c>
      <c r="C10" s="67">
        <f>('Inputs &amp; Outputs'!B24/'Inputs &amp; Outputs'!B23)^(1/(2045-2020))-1</f>
        <v>6.9299466544430199E-3</v>
      </c>
      <c r="F10" s="70">
        <f t="shared" si="2"/>
        <v>2024</v>
      </c>
      <c r="G10" s="80">
        <f t="shared" si="6"/>
        <v>29724.211117448238</v>
      </c>
      <c r="H10" s="79">
        <f t="shared" si="7"/>
        <v>4.7563545991700318E-2</v>
      </c>
      <c r="I10" s="70">
        <f>IF(AND(F10&gt;='Inputs &amp; Outputs'!B$13,F10&lt;'Inputs &amp; Outputs'!B$13+'Inputs &amp; Outputs'!B$19),1,0)</f>
        <v>1</v>
      </c>
      <c r="J10" s="71">
        <f>I10*'Inputs &amp; Outputs'!B$16*'Benefit Calculations'!G10*('Benefit Calculations'!C$4-'Benefit Calculations'!C$5)</f>
        <v>2619.5314830085322</v>
      </c>
      <c r="K10" s="89">
        <f t="shared" si="3"/>
        <v>0.75076079999450873</v>
      </c>
      <c r="L10" s="72">
        <f>K10*'Assumed Values'!$C$8</f>
        <v>5636.7120863587716</v>
      </c>
      <c r="M10" s="73">
        <f t="shared" si="0"/>
        <v>3755.979266637718</v>
      </c>
      <c r="N10" s="88">
        <f>I10*'Inputs &amp; Outputs'!B$16*'Benefit Calculations'!G10*('Benefit Calculations'!D$4-'Benefit Calculations'!D$5)</f>
        <v>866.69616691953024</v>
      </c>
      <c r="O10" s="89">
        <f t="shared" si="4"/>
        <v>0.24839613948116135</v>
      </c>
      <c r="P10" s="72">
        <f>ABS(O10*'Assumed Values'!$C$7)</f>
        <v>473.1946457116124</v>
      </c>
      <c r="Q10" s="73">
        <f t="shared" si="1"/>
        <v>315.30957252154258</v>
      </c>
      <c r="T10" s="85">
        <f t="shared" si="5"/>
        <v>0.68107818558221833</v>
      </c>
      <c r="U10" s="86">
        <f>T10*'Assumed Values'!$D$8</f>
        <v>0</v>
      </c>
    </row>
    <row r="11" spans="2:21" x14ac:dyDescent="0.25">
      <c r="B11" s="16" t="s">
        <v>106</v>
      </c>
      <c r="C11" s="67">
        <f>('Inputs &amp; Outputs'!B24/'Inputs &amp; Outputs'!B22)^(1/(2045-2018))-1</f>
        <v>1.8612589731740403E-2</v>
      </c>
      <c r="F11" s="70">
        <f t="shared" si="2"/>
        <v>2025</v>
      </c>
      <c r="G11" s="80">
        <f>'Inputs &amp; Outputs'!$B$23</f>
        <v>31138</v>
      </c>
      <c r="H11" s="79">
        <f t="shared" si="7"/>
        <v>4.7563545991700318E-2</v>
      </c>
      <c r="I11" s="70">
        <f>IF(AND(F11&gt;='Inputs &amp; Outputs'!B$13,F11&lt;'Inputs &amp; Outputs'!B$13+'Inputs &amp; Outputs'!B$19),1,0)</f>
        <v>1</v>
      </c>
      <c r="J11" s="71">
        <f>I11*'Inputs &amp; Outputs'!B$16*'Benefit Calculations'!G11*('Benefit Calculations'!C$4-'Benefit Calculations'!C$5)</f>
        <v>2744.1256891773155</v>
      </c>
      <c r="K11" s="89">
        <f t="shared" si="3"/>
        <v>0.78646964583381318</v>
      </c>
      <c r="L11" s="72">
        <f>K11*'Assumed Values'!$C$8</f>
        <v>5904.8141009202691</v>
      </c>
      <c r="M11" s="73">
        <f t="shared" si="0"/>
        <v>3677.2214572245916</v>
      </c>
      <c r="N11" s="88">
        <f>I11*'Inputs &amp; Outputs'!B$16*'Benefit Calculations'!G11*('Benefit Calculations'!D$4-'Benefit Calculations'!D$5)</f>
        <v>907.91930991563777</v>
      </c>
      <c r="O11" s="89">
        <f t="shared" si="4"/>
        <v>0.2602107406855344</v>
      </c>
      <c r="P11" s="72">
        <f>ABS(O11*'Assumed Values'!$C$7)</f>
        <v>495.70146100594303</v>
      </c>
      <c r="Q11" s="73">
        <f t="shared" si="1"/>
        <v>308.69795689326571</v>
      </c>
      <c r="T11" s="85">
        <f t="shared" si="5"/>
        <v>0.71347267918610202</v>
      </c>
      <c r="U11" s="86">
        <f>T11*'Assumed Values'!$D$8</f>
        <v>0</v>
      </c>
    </row>
    <row r="12" spans="2:21" x14ac:dyDescent="0.25">
      <c r="B12" s="27"/>
      <c r="C12" s="68"/>
      <c r="F12" s="70">
        <f t="shared" si="2"/>
        <v>2026</v>
      </c>
      <c r="G12" s="80">
        <f t="shared" si="6"/>
        <v>31353.784678926047</v>
      </c>
      <c r="H12" s="79">
        <f>$C$10</f>
        <v>6.9299466544430199E-3</v>
      </c>
      <c r="I12" s="70">
        <f>IF(AND(F12&gt;='Inputs &amp; Outputs'!B$13,F12&lt;'Inputs &amp; Outputs'!B$13+'Inputs &amp; Outputs'!B$19),1,0)</f>
        <v>1</v>
      </c>
      <c r="J12" s="71">
        <f>I12*'Inputs &amp; Outputs'!B$16*'Benefit Calculations'!G12*('Benefit Calculations'!C$4-'Benefit Calculations'!C$5)</f>
        <v>2763.1423338164013</v>
      </c>
      <c r="K12" s="89">
        <f t="shared" si="3"/>
        <v>0.79191983852478032</v>
      </c>
      <c r="L12" s="72">
        <f>K12*'Assumed Values'!$C$8</f>
        <v>5945.7341476440506</v>
      </c>
      <c r="M12" s="73">
        <f t="shared" si="0"/>
        <v>3460.471407252086</v>
      </c>
      <c r="N12" s="88">
        <f>I12*'Inputs &amp; Outputs'!B$16*'Benefit Calculations'!G12*('Benefit Calculations'!D$4-'Benefit Calculations'!D$5)</f>
        <v>914.21114229989189</v>
      </c>
      <c r="O12" s="89">
        <f t="shared" si="4"/>
        <v>0.26201398723739822</v>
      </c>
      <c r="P12" s="72">
        <f>ABS(O12*'Assumed Values'!$C$7)</f>
        <v>499.13664568724363</v>
      </c>
      <c r="Q12" s="73">
        <f t="shared" si="1"/>
        <v>290.50207221202953</v>
      </c>
      <c r="T12" s="85">
        <f t="shared" si="5"/>
        <v>0.71841700679226428</v>
      </c>
      <c r="U12" s="86">
        <f>T12*'Assumed Values'!$D$8</f>
        <v>0</v>
      </c>
    </row>
    <row r="13" spans="2:21" x14ac:dyDescent="0.25">
      <c r="B13" s="27"/>
      <c r="C13" s="68"/>
      <c r="F13" s="70">
        <f t="shared" si="2"/>
        <v>2027</v>
      </c>
      <c r="G13" s="80">
        <f t="shared" si="6"/>
        <v>31571.064734165899</v>
      </c>
      <c r="H13" s="79">
        <f t="shared" ref="H13:H36" si="8">$C$10</f>
        <v>6.9299466544430199E-3</v>
      </c>
      <c r="I13" s="70">
        <f>IF(AND(F13&gt;='Inputs &amp; Outputs'!B$13,F13&lt;'Inputs &amp; Outputs'!B$13+'Inputs &amp; Outputs'!B$19),1,0)</f>
        <v>1</v>
      </c>
      <c r="J13" s="71">
        <f>I13*'Inputs &amp; Outputs'!B$16*'Benefit Calculations'!G13*('Benefit Calculations'!C$4-'Benefit Calculations'!C$5)</f>
        <v>2782.2907627883819</v>
      </c>
      <c r="K13" s="89">
        <f t="shared" si="3"/>
        <v>0.79740780076035211</v>
      </c>
      <c r="L13" s="72">
        <f>K13*'Assumed Values'!$C$8</f>
        <v>5986.9377681087235</v>
      </c>
      <c r="M13" s="73">
        <f t="shared" si="0"/>
        <v>3256.4974668257641</v>
      </c>
      <c r="N13" s="88">
        <f>I13*'Inputs &amp; Outputs'!B$16*'Benefit Calculations'!G13*('Benefit Calculations'!D$4-'Benefit Calculations'!D$5)</f>
        <v>920.5465767469276</v>
      </c>
      <c r="O13" s="89">
        <f t="shared" si="4"/>
        <v>0.26382973019167133</v>
      </c>
      <c r="P13" s="72">
        <f>ABS(O13*'Assumed Values'!$C$7)</f>
        <v>502.59563601513389</v>
      </c>
      <c r="Q13" s="73">
        <f t="shared" si="1"/>
        <v>273.37872530417201</v>
      </c>
      <c r="T13" s="85">
        <f t="shared" si="5"/>
        <v>0.72339559832497935</v>
      </c>
      <c r="U13" s="86">
        <f>T13*'Assumed Values'!$D$8</f>
        <v>0</v>
      </c>
    </row>
    <row r="14" spans="2:21" x14ac:dyDescent="0.25">
      <c r="B14" s="27"/>
      <c r="C14" s="68"/>
      <c r="F14" s="70">
        <f t="shared" si="2"/>
        <v>2028</v>
      </c>
      <c r="G14" s="80">
        <f t="shared" si="6"/>
        <v>31789.850528597635</v>
      </c>
      <c r="H14" s="79">
        <f t="shared" si="8"/>
        <v>6.9299466544430199E-3</v>
      </c>
      <c r="I14" s="70">
        <f>IF(AND(F14&gt;='Inputs &amp; Outputs'!B$13,F14&lt;'Inputs &amp; Outputs'!B$13+'Inputs &amp; Outputs'!B$19),1,0)</f>
        <v>1</v>
      </c>
      <c r="J14" s="71">
        <f>I14*'Inputs &amp; Outputs'!B$16*'Benefit Calculations'!G14*('Benefit Calculations'!C$4-'Benefit Calculations'!C$5)</f>
        <v>2801.5718893516555</v>
      </c>
      <c r="K14" s="89">
        <f t="shared" si="3"/>
        <v>0.80293379428145817</v>
      </c>
      <c r="L14" s="72">
        <f>K14*'Assumed Values'!$C$8</f>
        <v>6028.4269274651879</v>
      </c>
      <c r="M14" s="73">
        <f t="shared" si="0"/>
        <v>3064.5465612628</v>
      </c>
      <c r="N14" s="88">
        <f>I14*'Inputs &amp; Outputs'!B$16*'Benefit Calculations'!G14*('Benefit Calculations'!D$4-'Benefit Calculations'!D$5)</f>
        <v>926.92591541671402</v>
      </c>
      <c r="O14" s="89">
        <f t="shared" si="4"/>
        <v>0.26565805614775573</v>
      </c>
      <c r="P14" s="72">
        <f>ABS(O14*'Assumed Values'!$C$7)</f>
        <v>506.07859696147466</v>
      </c>
      <c r="Q14" s="73">
        <f t="shared" si="1"/>
        <v>257.26469652989681</v>
      </c>
      <c r="T14" s="85">
        <f t="shared" si="5"/>
        <v>0.72840869123143037</v>
      </c>
      <c r="U14" s="86">
        <f>T14*'Assumed Values'!$D$8</f>
        <v>0</v>
      </c>
    </row>
    <row r="15" spans="2:21" x14ac:dyDescent="0.25">
      <c r="B15" s="27"/>
      <c r="C15" s="69"/>
      <c r="F15" s="70">
        <f t="shared" si="2"/>
        <v>2029</v>
      </c>
      <c r="G15" s="80">
        <f t="shared" si="6"/>
        <v>32010.152496913535</v>
      </c>
      <c r="H15" s="79">
        <f t="shared" si="8"/>
        <v>6.9299466544430199E-3</v>
      </c>
      <c r="I15" s="70">
        <f>IF(AND(F15&gt;='Inputs &amp; Outputs'!B$13,F15&lt;'Inputs &amp; Outputs'!B$13+'Inputs &amp; Outputs'!B$19),1,0)</f>
        <v>1</v>
      </c>
      <c r="J15" s="71">
        <f>I15*'Inputs &amp; Outputs'!B$16*'Benefit Calculations'!G15*('Benefit Calculations'!C$4-'Benefit Calculations'!C$5)</f>
        <v>2820.9866330934492</v>
      </c>
      <c r="K15" s="89">
        <f t="shared" si="3"/>
        <v>0.80849808264287815</v>
      </c>
      <c r="L15" s="72">
        <f>K15*'Assumed Values'!$C$8</f>
        <v>6070.2036044827291</v>
      </c>
      <c r="M15" s="73">
        <f t="shared" si="0"/>
        <v>2883.9100050957077</v>
      </c>
      <c r="N15" s="88">
        <f>I15*'Inputs &amp; Outputs'!B$16*'Benefit Calculations'!G15*('Benefit Calculations'!D$4-'Benefit Calculations'!D$5)</f>
        <v>933.34946256317255</v>
      </c>
      <c r="O15" s="89">
        <f t="shared" si="4"/>
        <v>0.26749905230518273</v>
      </c>
      <c r="P15" s="72">
        <f>ABS(O15*'Assumed Values'!$C$7)</f>
        <v>509.5856946413731</v>
      </c>
      <c r="Q15" s="73">
        <f t="shared" si="1"/>
        <v>242.10049266628079</v>
      </c>
      <c r="T15" s="85">
        <f t="shared" si="5"/>
        <v>0.73345652460429678</v>
      </c>
      <c r="U15" s="86">
        <f>T15*'Assumed Values'!$D$8</f>
        <v>0</v>
      </c>
    </row>
    <row r="16" spans="2:21" x14ac:dyDescent="0.25">
      <c r="B16" s="27"/>
      <c r="C16" s="69"/>
      <c r="F16" s="70">
        <f t="shared" si="2"/>
        <v>2030</v>
      </c>
      <c r="G16" s="80">
        <f t="shared" si="6"/>
        <v>32231.981146117731</v>
      </c>
      <c r="H16" s="79">
        <f t="shared" si="8"/>
        <v>6.9299466544430199E-3</v>
      </c>
      <c r="I16" s="70">
        <f>IF(AND(F16&gt;='Inputs &amp; Outputs'!B$13,F16&lt;'Inputs &amp; Outputs'!B$13+'Inputs &amp; Outputs'!B$19),1,0)</f>
        <v>1</v>
      </c>
      <c r="J16" s="71">
        <f>I16*'Inputs &amp; Outputs'!B$16*'Benefit Calculations'!G16*('Benefit Calculations'!C$4-'Benefit Calculations'!C$5)</f>
        <v>2840.535919973684</v>
      </c>
      <c r="K16" s="89">
        <f t="shared" si="3"/>
        <v>0.81410093122581284</v>
      </c>
      <c r="L16" s="72">
        <f>K16*'Assumed Values'!$C$8</f>
        <v>6112.2697916434026</v>
      </c>
      <c r="M16" s="73">
        <f t="shared" si="0"/>
        <v>2713.920885595548</v>
      </c>
      <c r="N16" s="88">
        <f>I16*'Inputs &amp; Outputs'!B$16*'Benefit Calculations'!G16*('Benefit Calculations'!D$4-'Benefit Calculations'!D$5)</f>
        <v>939.81752454868843</v>
      </c>
      <c r="O16" s="89">
        <f t="shared" si="4"/>
        <v>0.26935280646777171</v>
      </c>
      <c r="P16" s="72">
        <f>ABS(O16*'Assumed Values'!$C$7)</f>
        <v>513.11709632110512</v>
      </c>
      <c r="Q16" s="73">
        <f t="shared" si="1"/>
        <v>227.83012725745098</v>
      </c>
      <c r="T16" s="85">
        <f t="shared" si="5"/>
        <v>0.73853933919315784</v>
      </c>
      <c r="U16" s="86">
        <f>T16*'Assumed Values'!$D$8</f>
        <v>0</v>
      </c>
    </row>
    <row r="17" spans="2:21" x14ac:dyDescent="0.25">
      <c r="B17" s="27"/>
      <c r="C17" s="69"/>
      <c r="F17" s="70">
        <f t="shared" si="2"/>
        <v>2031</v>
      </c>
      <c r="G17" s="80">
        <f t="shared" si="6"/>
        <v>32455.347056027338</v>
      </c>
      <c r="H17" s="79">
        <f t="shared" si="8"/>
        <v>6.9299466544430199E-3</v>
      </c>
      <c r="I17" s="70">
        <f>IF(AND(F17&gt;='Inputs &amp; Outputs'!B$13,F17&lt;'Inputs &amp; Outputs'!B$13+'Inputs &amp; Outputs'!B$19),1,0)</f>
        <v>1</v>
      </c>
      <c r="J17" s="71">
        <f>I17*'Inputs &amp; Outputs'!B$16*'Benefit Calculations'!G17*('Benefit Calculations'!C$4-'Benefit Calculations'!C$5)</f>
        <v>2860.2206823691304</v>
      </c>
      <c r="K17" s="89">
        <f t="shared" si="3"/>
        <v>0.81974260725053993</v>
      </c>
      <c r="L17" s="72">
        <f>K17*'Assumed Values'!$C$8</f>
        <v>6154.6274952370541</v>
      </c>
      <c r="M17" s="73">
        <f t="shared" si="0"/>
        <v>2553.9516005206574</v>
      </c>
      <c r="N17" s="88">
        <f>I17*'Inputs &amp; Outputs'!B$16*'Benefit Calculations'!G17*('Benefit Calculations'!D$4-'Benefit Calculations'!D$5)</f>
        <v>946.3304098587214</v>
      </c>
      <c r="O17" s="89">
        <f t="shared" si="4"/>
        <v>0.27121940704781783</v>
      </c>
      <c r="P17" s="72">
        <f>ABS(O17*'Assumed Values'!$C$7)</f>
        <v>516.672970426093</v>
      </c>
      <c r="Q17" s="73">
        <f t="shared" si="1"/>
        <v>214.40091391179442</v>
      </c>
      <c r="T17" s="85">
        <f t="shared" si="5"/>
        <v>0.74365737741597393</v>
      </c>
      <c r="U17" s="86">
        <f>T17*'Assumed Values'!$D$8</f>
        <v>0</v>
      </c>
    </row>
    <row r="18" spans="2:21" x14ac:dyDescent="0.25">
      <c r="F18" s="70">
        <f t="shared" si="2"/>
        <v>2032</v>
      </c>
      <c r="G18" s="80">
        <f t="shared" si="6"/>
        <v>32680.260879777041</v>
      </c>
      <c r="H18" s="79">
        <f t="shared" si="8"/>
        <v>6.9299466544430199E-3</v>
      </c>
      <c r="I18" s="70">
        <f>IF(AND(F18&gt;='Inputs &amp; Outputs'!B$13,F18&lt;'Inputs &amp; Outputs'!B$13+'Inputs &amp; Outputs'!B$19),1,0)</f>
        <v>1</v>
      </c>
      <c r="J18" s="71">
        <f>I18*'Inputs &amp; Outputs'!B$16*'Benefit Calculations'!G18*('Benefit Calculations'!C$4-'Benefit Calculations'!C$5)</f>
        <v>2880.0418591178832</v>
      </c>
      <c r="K18" s="89">
        <f t="shared" si="3"/>
        <v>0.82542337978916025</v>
      </c>
      <c r="L18" s="72">
        <f>K18*'Assumed Values'!$C$8</f>
        <v>6197.2787354570155</v>
      </c>
      <c r="M18" s="73">
        <f t="shared" si="0"/>
        <v>2403.411541000276</v>
      </c>
      <c r="N18" s="88">
        <f>I18*'Inputs &amp; Outputs'!B$16*'Benefit Calculations'!G18*('Benefit Calculations'!D$4-'Benefit Calculations'!D$5)</f>
        <v>952.88842911651955</v>
      </c>
      <c r="O18" s="89">
        <f t="shared" si="4"/>
        <v>0.27309894307030885</v>
      </c>
      <c r="P18" s="72">
        <f>ABS(O18*'Assumed Values'!$C$7)</f>
        <v>520.25348654893833</v>
      </c>
      <c r="Q18" s="73">
        <f t="shared" si="1"/>
        <v>201.7632717830532</v>
      </c>
      <c r="T18" s="85">
        <f t="shared" si="5"/>
        <v>0.7488108833706496</v>
      </c>
      <c r="U18" s="86">
        <f>T18*'Assumed Values'!$D$8</f>
        <v>0</v>
      </c>
    </row>
    <row r="19" spans="2:21" x14ac:dyDescent="0.25">
      <c r="F19" s="70">
        <f t="shared" si="2"/>
        <v>2033</v>
      </c>
      <c r="G19" s="80">
        <f t="shared" si="6"/>
        <v>32906.733344327178</v>
      </c>
      <c r="H19" s="79">
        <f t="shared" si="8"/>
        <v>6.9299466544430199E-3</v>
      </c>
      <c r="I19" s="70">
        <f>IF(AND(F19&gt;='Inputs &amp; Outputs'!B$13,F19&lt;'Inputs &amp; Outputs'!B$13+'Inputs &amp; Outputs'!B$19),1,0)</f>
        <v>0</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33134.775250975348</v>
      </c>
      <c r="H20" s="79">
        <f t="shared" si="8"/>
        <v>6.9299466544430199E-3</v>
      </c>
      <c r="I20" s="70">
        <f>IF(AND(F20&gt;='Inputs &amp; Outputs'!B$13,F20&lt;'Inputs &amp; Outputs'!B$13+'Inputs &amp; Outputs'!B$19),1,0)</f>
        <v>0</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33364.397475871563</v>
      </c>
      <c r="H21" s="79">
        <f t="shared" si="8"/>
        <v>6.9299466544430199E-3</v>
      </c>
      <c r="I21" s="70">
        <f>IF(AND(F21&gt;='Inputs &amp; Outputs'!B$13,F21&lt;'Inputs &amp; Outputs'!B$13+'Inputs &amp; Outputs'!B$19),1,0)</f>
        <v>0</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33595.610970536989</v>
      </c>
      <c r="H22" s="79">
        <f t="shared" si="8"/>
        <v>6.9299466544430199E-3</v>
      </c>
      <c r="I22" s="70">
        <f>IF(AND(F22&gt;='Inputs &amp; Outputs'!B$13,F22&lt;'Inputs &amp; Outputs'!B$13+'Inputs &amp; Outputs'!B$19),1,0)</f>
        <v>0</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33828.426762386232</v>
      </c>
      <c r="H23" s="79">
        <f t="shared" si="8"/>
        <v>6.9299466544430199E-3</v>
      </c>
      <c r="I23" s="70">
        <f>IF(AND(F23&gt;='Inputs &amp; Outputs'!B$13,F23&lt;'Inputs &amp; Outputs'!B$13+'Inputs &amp; Outputs'!B$19),1,0)</f>
        <v>0</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34062.855955253304</v>
      </c>
      <c r="H24" s="79">
        <f t="shared" si="8"/>
        <v>6.9299466544430199E-3</v>
      </c>
      <c r="I24" s="70">
        <f>IF(AND(F24&gt;='Inputs &amp; Outputs'!B$13,F24&lt;'Inputs &amp; Outputs'!B$13+'Inputs &amp; Outputs'!B$19),1,0)</f>
        <v>0</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34298.909729921186</v>
      </c>
      <c r="H25" s="79">
        <f t="shared" si="8"/>
        <v>6.9299466544430199E-3</v>
      </c>
      <c r="I25" s="70">
        <f>IF(AND(F25&gt;='Inputs &amp; Outputs'!B$13,F25&lt;'Inputs &amp; Outputs'!B$13+'Inputs &amp; Outputs'!B$19),1,0)</f>
        <v>0</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34536.5993446551</v>
      </c>
      <c r="H26" s="79">
        <f t="shared" si="8"/>
        <v>6.9299466544430199E-3</v>
      </c>
      <c r="I26" s="70">
        <f>IF(AND(F26&gt;='Inputs &amp; Outputs'!B$13,F26&lt;'Inputs &amp; Outputs'!B$13+'Inputs &amp; Outputs'!B$19),1,0)</f>
        <v>0</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34775.93613573943</v>
      </c>
      <c r="H27" s="79">
        <f t="shared" si="8"/>
        <v>6.9299466544430199E-3</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35016.93151801842</v>
      </c>
      <c r="H28" s="79">
        <f t="shared" si="8"/>
        <v>6.9299466544430199E-3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35259.59698544057</v>
      </c>
      <c r="H29" s="79">
        <f t="shared" si="8"/>
        <v>6.9299466544430199E-3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35503.944111606834</v>
      </c>
      <c r="H30" s="79">
        <f t="shared" si="8"/>
        <v>6.9299466544430199E-3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37006</v>
      </c>
      <c r="H31" s="79">
        <f t="shared" si="8"/>
        <v>6.9299466544430199E-3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37262.449605894319</v>
      </c>
      <c r="H32" s="79">
        <f t="shared" si="8"/>
        <v>6.9299466544430199E-3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37520.676393877038</v>
      </c>
      <c r="H33" s="79">
        <f t="shared" si="8"/>
        <v>6.9299466544430199E-3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37780.692679725224</v>
      </c>
      <c r="H34" s="79">
        <f t="shared" si="8"/>
        <v>6.9299466544430199E-3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38042.510864563628</v>
      </c>
      <c r="H35" s="79">
        <f t="shared" si="8"/>
        <v>6.9299466544430199E-3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38306.143435456121</v>
      </c>
      <c r="H36" s="79">
        <f t="shared" si="8"/>
        <v>6.9299466544430199E-3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32278.774577795728</v>
      </c>
      <c r="K37" s="71">
        <f t="shared" ref="K37:Q37" si="9">SUM(K4:K36)</f>
        <v>9.2511347094160481</v>
      </c>
      <c r="L37" s="74">
        <f t="shared" si="9"/>
        <v>69457.519398295699</v>
      </c>
      <c r="M37" s="75">
        <f t="shared" si="9"/>
        <v>39527.444411127108</v>
      </c>
      <c r="N37" s="88">
        <f t="shared" si="9"/>
        <v>10679.730471230994</v>
      </c>
      <c r="O37" s="88">
        <f t="shared" si="9"/>
        <v>3.060823297721365</v>
      </c>
      <c r="P37" s="76">
        <f t="shared" si="9"/>
        <v>5830.8683821592003</v>
      </c>
      <c r="Q37" s="75">
        <f t="shared" si="9"/>
        <v>3318.2775290712689</v>
      </c>
      <c r="T37" s="85">
        <f>SUM(T4:T36)</f>
        <v>8.3924813902268891</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Liu, Tina (Engineering)</cp:lastModifiedBy>
  <cp:lastPrinted>2018-04-10T17:15:43Z</cp:lastPrinted>
  <dcterms:created xsi:type="dcterms:W3CDTF">2012-07-25T15:48:32Z</dcterms:created>
  <dcterms:modified xsi:type="dcterms:W3CDTF">2018-10-24T18:14:24Z</dcterms:modified>
</cp:coreProperties>
</file>