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HRA - Northpark\"/>
    </mc:Choice>
  </mc:AlternateContent>
  <xr:revisionPtr revIDLastSave="0" documentId="13_ncr:1_{6CAD9BD8-7397-42E8-9545-4798E9A24539}" xr6:coauthVersionLast="37" xr6:coauthVersionMax="37" xr10:uidLastSave="{00000000-0000-0000-0000-000000000000}"/>
  <bookViews>
    <workbookView xWindow="732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33" i="12" l="1"/>
  <c r="J29" i="12"/>
  <c r="J32" i="12"/>
  <c r="J31" i="12"/>
  <c r="J27" i="12"/>
  <c r="J30" i="12"/>
  <c r="J28" i="12"/>
  <c r="J5" i="12" l="1"/>
  <c r="R9" i="12" s="1"/>
  <c r="T9" i="12" s="1"/>
  <c r="U9" i="12" s="1"/>
  <c r="R10" i="12" l="1"/>
  <c r="R11" i="12" s="1"/>
  <c r="T10" i="12" l="1"/>
  <c r="U10" i="12" s="1"/>
  <c r="T11" i="12"/>
  <c r="U11" i="12" s="1"/>
  <c r="R12" i="12"/>
  <c r="R13" i="12" l="1"/>
  <c r="T12" i="12"/>
  <c r="U12" i="12" s="1"/>
  <c r="R14" i="12" l="1"/>
  <c r="T13" i="12"/>
  <c r="U13" i="12" s="1"/>
  <c r="T14" i="12" l="1"/>
  <c r="U14" i="12" s="1"/>
  <c r="R15" i="12"/>
  <c r="R16" i="12" l="1"/>
  <c r="T15" i="12"/>
  <c r="U15" i="12" s="1"/>
  <c r="R17" i="12" l="1"/>
  <c r="T16" i="12"/>
  <c r="U16" i="12" s="1"/>
  <c r="R18" i="12" l="1"/>
  <c r="T17" i="12"/>
  <c r="U17" i="12" s="1"/>
  <c r="R19" i="12" l="1"/>
  <c r="T18" i="12"/>
  <c r="U18" i="12" s="1"/>
  <c r="R20" i="12" l="1"/>
  <c r="T19" i="12"/>
  <c r="U19" i="12" s="1"/>
  <c r="T20" i="12" l="1"/>
  <c r="U20" i="12" s="1"/>
  <c r="R21" i="12"/>
  <c r="T21" i="12" l="1"/>
  <c r="U21" i="12" s="1"/>
  <c r="R22" i="12"/>
  <c r="R23" i="12" l="1"/>
  <c r="T22" i="12"/>
  <c r="U22" i="12" s="1"/>
  <c r="R24" i="12" l="1"/>
  <c r="T23" i="12"/>
  <c r="U23" i="12" s="1"/>
  <c r="R25" i="12" l="1"/>
  <c r="T24" i="12"/>
  <c r="U24" i="12" s="1"/>
  <c r="R26" i="12" l="1"/>
  <c r="T25" i="12"/>
  <c r="U25" i="12" s="1"/>
  <c r="T26" i="12" l="1"/>
  <c r="U26" i="12" s="1"/>
  <c r="R27" i="12"/>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<sst xmlns="http://schemas.openxmlformats.org/spreadsheetml/2006/main" count="440" uniqueCount="285">
  <si>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</si>
  <si>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</si>
  <si>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</si>
  <si>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</si>
  <si>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</si>
  <si>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</si>
  <si>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</si>
  <si>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</si>
  <si>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</si>
  <si>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</si>
  <si>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</si>
  <si>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</si>
  <si>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</si>
  <si>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</si>
  <si>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</si>
  <si>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</si>
  <si>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</si>
  <si>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</si>
  <si>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</si>
  <si>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</si>
  <si>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</si>
  <si>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</si>
  <si>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</si>
  <si>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</si>
  <si>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</si>
  <si>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</si>
  <si>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</si>
  <si>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</si>
  <si>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</si>
  <si>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</si>
  <si>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</si>
  <si>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</si>
  <si>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</si>
  <si>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</si>
  <si>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</si>
  <si>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</si>
  <si>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</si>
  <si>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</si>
  <si>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</si>
  <si>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</si>
  <si>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</si>
  <si>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</si>
  <si>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</si>
  <si>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</si>
  <si>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</si>
  <si>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</si>
  <si>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</si>
  <si>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</si>
  <si>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</si>
  <si>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</si>
  <si>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</si>
  <si>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</si>
  <si>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</si>
  <si>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</si>
  <si>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</si>
  <si>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</si>
  <si>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</si>
  <si>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</si>
  <si>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</si>
  <si>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</si>
  <si>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</si>
  <si>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</si>
  <si>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</si>
  <si>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</si>
  <si>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</si>
  <si>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</si>
  <si>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</si>
  <si>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</si>
  <si>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</si>
  <si>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</si>
  <si>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</si>
  <si>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</si>
  <si>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</si>
  <si>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</si>
  <si>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</si>
  <si>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</si>
  <si>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</si>
  <si>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</si>
  <si>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</si>
  <si>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</si>
  <si>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</si>
  <si>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</si>
  <si>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</si>
  <si>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</si>
  <si>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</si>
  <si>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</si>
  <si>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</si>
  <si>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</si>
  <si>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</si>
  <si>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</si>
  <si>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</si>
  <si>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</si>
  <si>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</si>
  <si>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</si>
  <si>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</si>
  <si>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</si>
  <si>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</si>
  <si>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</si>
  <si>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</si>
  <si>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</si>
  <si>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</si>
  <si>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</si>
  <si>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</si>
  <si>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</si>
  <si>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</si>
  <si>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</si>
  <si>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</si>
  <si>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</si>
  <si>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</si>
  <si>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</si>
  <si>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</si>
  <si>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</si>
  <si>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</si>
  <si>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</si>
  <si>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</si>
  <si>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</si>
  <si>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</si>
  <si>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</si>
  <si>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</si>
  <si>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</si>
  <si>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</si>
  <si>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</si>
  <si>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</si>
  <si>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</si>
  <si>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</si>
  <si>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</si>
  <si>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</si>
  <si>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</si>
  <si>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</si>
  <si>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</si>
  <si>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</si>
  <si>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</si>
  <si>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</si>
  <si>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</si>
  <si>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</si>
  <si>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</si>
  <si>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</si>
  <si>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</si>
  <si>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</si>
  <si>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</si>
  <si>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</si>
  <si>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</si>
  <si>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</si>
  <si>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</si>
  <si>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</si>
  <si>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</si>
  <si>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</si>
  <si>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</si>
  <si>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</si>
  <si>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</si>
  <si>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</si>
  <si>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</si>
  <si>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</si>
  <si>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</si>
  <si>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</si>
  <si>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</si>
  <si>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</si>
  <si>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</si>
  <si>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</si>
  <si>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</si>
  <si>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</si>
  <si>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</si>
  <si>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</si>
  <si>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</si>
  <si>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</si>
  <si>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</si>
  <si>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</si>
  <si>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</si>
  <si>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</si>
  <si>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</si>
  <si>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</si>
  <si>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</si>
  <si>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</si>
  <si>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</si>
  <si>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</si>
  <si>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</si>
  <si>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</si>
  <si>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</si>
  <si>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</si>
  <si>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</si>
  <si>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</si>
  <si>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</si>
  <si>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</si>
  <si>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</si>
  <si>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</si>
  <si>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</si>
  <si>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</si>
  <si>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</si>
  <si>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</si>
  <si>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</si>
  <si>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</si>
  <si>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</si>
  <si>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</si>
  <si>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</si>
  <si>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</si>
  <si>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</si>
  <si>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</si>
  <si>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</si>
  <si>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</si>
  <si>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</si>
  <si>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</si>
  <si>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</si>
  <si>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</si>
  <si>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</si>
  <si>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</si>
  <si>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</si>
  <si>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</si>
  <si>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</si>
  <si>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</si>
  <si>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</si>
  <si>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</si>
  <si>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</si>
  <si>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</si>
  <si>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</si>
  <si>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</si>
  <si>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</si>
  <si>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</si>
  <si>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</si>
  <si>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</si>
  <si>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</si>
  <si>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</si>
  <si>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</si>
  <si>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</si>
  <si>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</si>
  <si>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</si>
  <si>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</si>
  <si>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</si>
  <si>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</si>
  <si>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</si>
  <si>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</si>
  <si>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</si>
  <si>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</si>
  <si>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</si>
  <si>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</si>
  <si>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</si>
  <si>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</si>
  <si>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</si>
  <si>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</si>
  <si>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</si>
  <si>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</si>
  <si>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</si>
  <si>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</si>
  <si>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</si>
  <si>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</si>
  <si>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</si>
  <si>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</si>
  <si>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</si>
  <si>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</si>
  <si>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</si>
  <si>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</si>
  <si>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</si>
  <si>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</si>
  <si>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</si>
  <si>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</si>
  <si>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</si>
  <si>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</si>
  <si>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</si>
  <si>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</si>
  <si>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</si>
  <si>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</si>
  <si>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</si>
  <si>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</si>
  <si>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</si>
  <si>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</si>
  <si>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</si>
  <si>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</si>
  <si>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</si>
  <si>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</si>
  <si>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</si>
  <si>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</si>
  <si>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</si>
  <si>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</si>
  <si>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</si>
  <si>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</si>
  <si>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</si>
  <si>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</si>
  <si>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</si>
  <si>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</si>
  <si>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</si>
  <si>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</si>
  <si>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</si>
  <si>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Northpark Drive Reconstruction Project</t>
  </si>
  <si>
    <t>Russel Palmer Road</t>
  </si>
  <si>
    <t>Woodland Hills Drive</t>
  </si>
  <si>
    <t>Northpark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</si>
</sst>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17" sqref="C17"/>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284</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1.2</v>
      </c>
      <c r="D12" s="95"/>
      <c r="N12" s="180"/>
      <c r="O12" s="180"/>
      <c r="P12" s="180"/>
      <c r="Q12" s="180"/>
      <c r="R12" s="180"/>
      <c r="S12" s="180"/>
    </row>
    <row r="13" spans="2:19" x14ac:dyDescent="0.25">
      <c r="B13" s="4" t="s">
        <v>77</v>
      </c>
      <c r="C13" s="121">
        <v>197</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2024</v>
      </c>
      <c r="D17" s="96"/>
    </row>
    <row r="18" spans="2:13" x14ac:dyDescent="0.25">
      <c r="B18" s="4" t="s">
        <v>259</v>
      </c>
      <c r="C18" s="120" t="s">
        <v>176</v>
      </c>
      <c r="D18" s="26"/>
    </row>
    <row r="19" spans="2:13" x14ac:dyDescent="0.25">
      <c r="B19" s="122" t="s">
        <v>251</v>
      </c>
      <c r="C19" s="174">
        <f>VLOOKUP(C18,'CRF Lookup Table'!C3:F84,2, FALSE)</f>
        <v>517</v>
      </c>
      <c r="D19" s="97"/>
    </row>
    <row r="20" spans="2:13" x14ac:dyDescent="0.25">
      <c r="B20" s="122" t="s">
        <v>102</v>
      </c>
      <c r="C20" s="175">
        <f>VLOOKUP(C18,'CRF Lookup Table'!C3:F84,3, FALSE)</f>
        <v>0.28000000000000003</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34046</v>
      </c>
      <c r="D25" s="99"/>
      <c r="I25" s="49"/>
    </row>
    <row r="26" spans="2:13" x14ac:dyDescent="0.25">
      <c r="I26" s="49"/>
    </row>
    <row r="27" spans="2:13" x14ac:dyDescent="0.25">
      <c r="B27" s="86" t="s">
        <v>269</v>
      </c>
      <c r="C27" s="87">
        <v>14640</v>
      </c>
      <c r="D27" s="99"/>
      <c r="I27" s="49"/>
    </row>
    <row r="28" spans="2:13" x14ac:dyDescent="0.25">
      <c r="B28" s="86" t="s">
        <v>150</v>
      </c>
      <c r="C28" s="87">
        <v>29711</v>
      </c>
      <c r="D28" s="99"/>
      <c r="I28" s="49"/>
    </row>
    <row r="29" spans="2:13" x14ac:dyDescent="0.25">
      <c r="B29" s="86" t="s">
        <v>270</v>
      </c>
      <c r="C29" s="88">
        <v>16473</v>
      </c>
      <c r="D29" s="69"/>
      <c r="I29" s="49"/>
    </row>
    <row r="30" spans="2:13" x14ac:dyDescent="0.25">
      <c r="B30" s="86" t="s">
        <v>151</v>
      </c>
      <c r="C30" s="88">
        <v>48000</v>
      </c>
      <c r="D30" s="69"/>
      <c r="I30" s="49"/>
    </row>
    <row r="31" spans="2:13" x14ac:dyDescent="0.25">
      <c r="B31" s="86" t="s">
        <v>271</v>
      </c>
      <c r="C31" s="87">
        <v>21491</v>
      </c>
      <c r="D31" s="99"/>
      <c r="H31" s="70"/>
    </row>
    <row r="32" spans="2:13" x14ac:dyDescent="0.25">
      <c r="B32" s="86" t="s">
        <v>152</v>
      </c>
      <c r="C32" s="87">
        <v>48000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14691.43198466668</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37668.550908225472</v>
      </c>
      <c r="G4" s="183" t="s">
        <v>260</v>
      </c>
      <c r="H4" s="183"/>
      <c r="I4" s="183"/>
      <c r="J4" s="183"/>
      <c r="L4" s="136"/>
      <c r="M4" s="137">
        <v>2018</v>
      </c>
      <c r="N4" s="138">
        <f>_2018_Volume_ADT</f>
        <v>34046</v>
      </c>
      <c r="O4" s="139" t="s">
        <v>85</v>
      </c>
      <c r="P4" s="140">
        <f>MIN(B12,1)</f>
        <v>0.49274679411665712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45202.261089870568</v>
      </c>
      <c r="G5" s="184" t="s">
        <v>261</v>
      </c>
      <c r="H5" s="184"/>
      <c r="I5" s="184"/>
      <c r="J5" s="143">
        <f>SUMPRODUCT(Possible_Crash_Reductions,'Value of Statistical Life'!E5:E11)</f>
        <v>1754184.0608741259</v>
      </c>
      <c r="L5" s="136"/>
      <c r="M5" s="144">
        <f t="shared" ref="M5:M36" si="1">M4+1</f>
        <v>2019</v>
      </c>
      <c r="N5" s="145">
        <f>N4+(N4*O5)</f>
        <v>34624.610602642308</v>
      </c>
      <c r="O5" s="146">
        <f t="shared" ref="O5:O11" si="2">IF(ISERROR(_2025_2045_Demand_Growth),_2018_2045_Demand_Growth,_2018_2025_Demand_Growth)</f>
        <v>1.6994965712339383E-2</v>
      </c>
      <c r="P5" s="147">
        <f t="shared" ref="P5:P11" si="3">P4*(1+IFERROR(_2018_2025_V_C_Growth,_2018_2045_V_C_Growth))</f>
        <v>0.4679312433525612</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11752587.883366348</v>
      </c>
      <c r="L6" s="136"/>
      <c r="M6" s="137">
        <f t="shared" si="1"/>
        <v>2020</v>
      </c>
      <c r="N6" s="145">
        <f t="shared" ref="N6:N36" si="6">N5+(N5*O6)</f>
        <v>35213.054672637314</v>
      </c>
      <c r="O6" s="146">
        <f t="shared" si="2"/>
        <v>1.6994965712339383E-2</v>
      </c>
      <c r="P6" s="147">
        <f t="shared" si="3"/>
        <v>0.44436544513293263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35811.499329425518</v>
      </c>
      <c r="O7" s="146">
        <f t="shared" si="2"/>
        <v>1.6994965712339383E-2</v>
      </c>
      <c r="P7" s="147">
        <f t="shared" si="3"/>
        <v>0.4219864598342567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36420.114532636573</v>
      </c>
      <c r="O8" s="146">
        <f t="shared" si="2"/>
        <v>1.6994965712339383E-2</v>
      </c>
      <c r="P8" s="147">
        <f t="shared" si="3"/>
        <v>0.40073451757748185</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1.6994965712339383E-2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37039.073130358207</v>
      </c>
      <c r="O9" s="146">
        <f t="shared" si="2"/>
        <v>1.6994965712339383E-2</v>
      </c>
      <c r="P9" s="147">
        <f t="shared" si="3"/>
        <v>0.38055285859439947</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1.3384357515704881E-2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37668.550908225472</v>
      </c>
      <c r="O10" s="146">
        <f t="shared" si="2"/>
        <v>1.6994965712339383E-2</v>
      </c>
      <c r="P10" s="147">
        <f t="shared" si="3"/>
        <v>0.36138758163343893</v>
      </c>
      <c r="Q10" s="148">
        <f t="shared" si="4"/>
        <v>1</v>
      </c>
      <c r="R10" s="37">
        <f>IF(M10=Year_Open_to_Traffic?,Calculations!$J$5,Calculations!R9+(Calculations!R9*Calculations!O10*Q10))</f>
        <v>1754184.0608741259</v>
      </c>
      <c r="S10" s="54">
        <f t="shared" si="0"/>
        <v>1</v>
      </c>
      <c r="T10" s="37">
        <f t="shared" si="5"/>
        <v>1754.1840608741259</v>
      </c>
      <c r="U10" s="142">
        <f>T10/(1+Real_Discount_Rate)^(Calculations!M10-'Assumed Values'!$C$5)</f>
        <v>1168.8869081063456</v>
      </c>
    </row>
    <row r="11" spans="1:21" ht="15.75" x14ac:dyDescent="0.25">
      <c r="A11" s="152" t="s">
        <v>107</v>
      </c>
      <c r="B11" s="153">
        <f>(_2045_Peak_Period_Volume/'Inputs &amp; Outputs'!$C$27)^(1/(2045-2018))-1</f>
        <v>1.4319208413556828E-2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38308.726639344277</v>
      </c>
      <c r="O11" s="146">
        <f t="shared" si="2"/>
        <v>1.6994965712339383E-2</v>
      </c>
      <c r="P11" s="147">
        <f t="shared" si="3"/>
        <v>0.34318750000000003</v>
      </c>
      <c r="Q11" s="148">
        <f t="shared" si="4"/>
        <v>1</v>
      </c>
      <c r="R11" s="37">
        <f>IF(M11=Year_Open_to_Traffic?,Calculations!$J$5,Calculations!R10+(Calculations!R10*Calculations!O11*Q11))</f>
        <v>1783996.3588418139</v>
      </c>
      <c r="S11" s="54">
        <f t="shared" si="0"/>
        <v>1</v>
      </c>
      <c r="T11" s="37">
        <f t="shared" si="5"/>
        <v>1783.9963588418138</v>
      </c>
      <c r="U11" s="142">
        <f>T11/(1+Real_Discount_Rate)^(Calculations!M11-'Assumed Values'!$C$5)</f>
        <v>1110.9832719917899</v>
      </c>
    </row>
    <row r="12" spans="1:21" ht="15.75" x14ac:dyDescent="0.25">
      <c r="A12" s="152" t="s">
        <v>75</v>
      </c>
      <c r="B12" s="156">
        <f>'Inputs &amp; Outputs'!C27/_2018_Peak_Period_Capacity</f>
        <v>0.49274679411665712</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38821.464332656666</v>
      </c>
      <c r="O12" s="146">
        <f t="shared" ref="O12:O36" si="7">IFERROR(_2025_2045_Demand_Growth,_2018_2045_Demand_Growth)</f>
        <v>1.3384357515704881E-2</v>
      </c>
      <c r="P12" s="147">
        <f t="shared" ref="P12:P36" si="8">P11*(1+IFERROR(_2025_2040_V_C_Growth,_2018_2045_V_C_Growth))</f>
        <v>0.347780844194921</v>
      </c>
      <c r="Q12" s="148">
        <f t="shared" si="4"/>
        <v>1</v>
      </c>
      <c r="R12" s="37">
        <f>IF(M12=Year_Open_to_Traffic?,Calculations!$J$5,Calculations!R11+(Calculations!R11*Calculations!O12*Q12))</f>
        <v>1807874.0039152685</v>
      </c>
      <c r="S12" s="54">
        <f t="shared" si="0"/>
        <v>1</v>
      </c>
      <c r="T12" s="37">
        <f t="shared" si="5"/>
        <v>1807.8740039152685</v>
      </c>
      <c r="U12" s="142">
        <f>T12/(1+Real_Discount_Rate)^(Calculations!M12-'Assumed Values'!$C$5)</f>
        <v>1052.1991301851363</v>
      </c>
    </row>
    <row r="13" spans="1:21" ht="15.75" x14ac:dyDescent="0.25">
      <c r="A13" s="152" t="s">
        <v>74</v>
      </c>
      <c r="B13" s="156">
        <f>_2025_Peak_Period_Volume/_2025_Peak_Period_Capacity</f>
        <v>0.34318749999999998</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39341.064690568128</v>
      </c>
      <c r="O13" s="146">
        <f t="shared" si="7"/>
        <v>1.3384357515704881E-2</v>
      </c>
      <c r="P13" s="147">
        <f t="shared" si="8"/>
        <v>0.3524356673507395</v>
      </c>
      <c r="Q13" s="148">
        <f t="shared" si="4"/>
        <v>1</v>
      </c>
      <c r="R13" s="37">
        <f>IF(M13=Year_Open_to_Traffic?,Calculations!$J$5,Calculations!R12+(Calculations!R12*Calculations!O13*Q13))</f>
        <v>1832071.2359270193</v>
      </c>
      <c r="S13" s="54">
        <f t="shared" si="0"/>
        <v>1</v>
      </c>
      <c r="T13" s="37">
        <f t="shared" si="5"/>
        <v>1832.0712359270192</v>
      </c>
      <c r="U13" s="142">
        <f>T13/(1+Real_Discount_Rate)^(Calculations!M13-'Assumed Values'!$C$5)</f>
        <v>996.52536403854913</v>
      </c>
    </row>
    <row r="14" spans="1:21" ht="15.75" x14ac:dyDescent="0.25">
      <c r="A14" s="152" t="s">
        <v>148</v>
      </c>
      <c r="B14" s="156">
        <f>_2045_Peak_Period_Volume/_2045_Peak_Period_Capacity</f>
        <v>0.44772916666666668</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39867.619565435169</v>
      </c>
      <c r="O14" s="146">
        <f t="shared" si="7"/>
        <v>1.3384357515704881E-2</v>
      </c>
      <c r="P14" s="147">
        <f>P13*(1+IFERROR(_2025_2040_V_C_Growth,_2018_2045_V_C_Growth))</f>
        <v>0.35715279232384783</v>
      </c>
      <c r="Q14" s="148">
        <f t="shared" si="4"/>
        <v>1</v>
      </c>
      <c r="R14" s="37">
        <f>IF(M14=Year_Open_to_Traffic?,Calculations!$J$5,Calculations!R13+(Calculations!R13*Calculations!O14*Q14))</f>
        <v>1856592.3323429057</v>
      </c>
      <c r="S14" s="54">
        <f t="shared" si="0"/>
        <v>1</v>
      </c>
      <c r="T14" s="37">
        <f t="shared" si="5"/>
        <v>1856.5923323429056</v>
      </c>
      <c r="U14" s="142">
        <f>T14/(1+Real_Discount_Rate)^(Calculations!M14-'Assumed Values'!$C$5)</f>
        <v>943.7973979292608</v>
      </c>
    </row>
    <row r="15" spans="1:21" ht="15.75" x14ac:dyDescent="0.25">
      <c r="A15" s="152" t="s">
        <v>80</v>
      </c>
      <c r="B15" s="153">
        <f>(B13/B12)^(1/(2025-2018))-1</f>
        <v>-5.0361668630604761E-2</v>
      </c>
      <c r="L15" s="136"/>
      <c r="M15" s="144">
        <f>M14+1</f>
        <v>2029</v>
      </c>
      <c r="N15" s="145">
        <f t="shared" si="6"/>
        <v>40401.222038999062</v>
      </c>
      <c r="O15" s="146">
        <f t="shared" si="7"/>
        <v>1.3384357515704881E-2</v>
      </c>
      <c r="P15" s="147">
        <f>P14*(1+IFERROR(_2025_2040_V_C_Growth,_2018_2045_V_C_Growth))</f>
        <v>0.36193305298404249</v>
      </c>
      <c r="Q15" s="148">
        <f t="shared" si="4"/>
        <v>1</v>
      </c>
      <c r="R15" s="37">
        <f>IF(M15=Year_Open_to_Traffic?,Calculations!$J$5,Calculations!R14+(Calculations!R14*Calculations!O15*Q15))</f>
        <v>1881441.6278798995</v>
      </c>
      <c r="S15" s="54">
        <f t="shared" si="0"/>
        <v>1</v>
      </c>
      <c r="T15" s="37">
        <f t="shared" si="5"/>
        <v>1881.4416278798994</v>
      </c>
      <c r="U15" s="142">
        <f>T15/(1+Real_Discount_Rate)^(Calculations!M15-'Assumed Values'!$C$5)</f>
        <v>893.85936422947464</v>
      </c>
    </row>
    <row r="16" spans="1:21" ht="15.75" x14ac:dyDescent="0.25">
      <c r="A16" s="152" t="s">
        <v>108</v>
      </c>
      <c r="B16" s="153">
        <f>(B14/B13)^(1/(2045-2025))-1</f>
        <v>1.3384357515704881E-2</v>
      </c>
      <c r="D16" s="157" t="s">
        <v>136</v>
      </c>
      <c r="E16" s="151"/>
      <c r="L16" s="136"/>
      <c r="M16" s="137">
        <f t="shared" si="1"/>
        <v>2030</v>
      </c>
      <c r="N16" s="145">
        <f t="shared" si="6"/>
        <v>40941.966438840398</v>
      </c>
      <c r="O16" s="146">
        <f t="shared" si="7"/>
        <v>1.3384357515704881E-2</v>
      </c>
      <c r="P16" s="147">
        <f t="shared" si="8"/>
        <v>0.36677729436193146</v>
      </c>
      <c r="Q16" s="148">
        <f t="shared" si="4"/>
        <v>1</v>
      </c>
      <c r="R16" s="37">
        <f>IF(M16=Year_Open_to_Traffic?,Calculations!$J$5,Calculations!R15+(Calculations!R15*Calculations!O16*Q16))</f>
        <v>1906623.5152723738</v>
      </c>
      <c r="S16" s="54">
        <f t="shared" si="0"/>
        <v>1</v>
      </c>
      <c r="T16" s="37">
        <f t="shared" si="5"/>
        <v>1906.6235152723739</v>
      </c>
      <c r="U16" s="142">
        <f>T16/(1+Real_Discount_Rate)^(Calculations!M16-'Assumed Values'!$C$5)</f>
        <v>846.56364255054473</v>
      </c>
    </row>
    <row r="17" spans="1:21" ht="15.75" x14ac:dyDescent="0.25">
      <c r="A17" s="152" t="s">
        <v>109</v>
      </c>
      <c r="B17" s="153">
        <f>(B14/B12)^(1/(2045-2018))-1</f>
        <v>-3.5421166289741901E-3</v>
      </c>
      <c r="D17" s="152" t="s">
        <v>89</v>
      </c>
      <c r="E17" s="158">
        <f>($E$6*Death_Rate)/100000000</f>
        <v>0.20515013663320533</v>
      </c>
      <c r="L17" s="136"/>
      <c r="M17" s="144">
        <f t="shared" si="1"/>
        <v>2031</v>
      </c>
      <c r="N17" s="145">
        <f t="shared" si="6"/>
        <v>41489.948355053828</v>
      </c>
      <c r="O17" s="146">
        <f t="shared" si="7"/>
        <v>1.3384357515704881E-2</v>
      </c>
      <c r="P17" s="147">
        <f t="shared" si="8"/>
        <v>0.37168637279831446</v>
      </c>
      <c r="Q17" s="148">
        <f t="shared" si="4"/>
        <v>1</v>
      </c>
      <c r="R17" s="37">
        <f>IF(M17=Year_Open_to_Traffic?,Calculations!$J$5,Calculations!R16+(Calculations!R16*Calculations!O17*Q17))</f>
        <v>1932142.4460486292</v>
      </c>
      <c r="S17" s="54">
        <f t="shared" si="0"/>
        <v>1</v>
      </c>
      <c r="T17" s="37">
        <f t="shared" si="5"/>
        <v>1932.1424460486292</v>
      </c>
      <c r="U17" s="142">
        <f>T17/(1+Real_Discount_Rate)^(Calculations!M17-'Assumed Values'!$C$5)</f>
        <v>801.77042336657803</v>
      </c>
    </row>
    <row r="18" spans="1:21" ht="15.75" x14ac:dyDescent="0.25">
      <c r="D18" s="152" t="s">
        <v>94</v>
      </c>
      <c r="E18" s="158">
        <f>($E$6*Incap_Injry_Rate)/100000000</f>
        <v>1.037000851949138</v>
      </c>
      <c r="L18" s="136"/>
      <c r="M18" s="137">
        <f t="shared" si="1"/>
        <v>2032</v>
      </c>
      <c r="N18" s="145">
        <f t="shared" si="6"/>
        <v>42045.264657145999</v>
      </c>
      <c r="O18" s="146">
        <f t="shared" si="7"/>
        <v>1.3384357515704881E-2</v>
      </c>
      <c r="P18" s="147">
        <f t="shared" si="8"/>
        <v>0.37666115609556267</v>
      </c>
      <c r="Q18" s="148">
        <f t="shared" si="4"/>
        <v>1</v>
      </c>
      <c r="R18" s="37">
        <f>IF(M18=Year_Open_to_Traffic?,Calculations!$J$5,Calculations!R17+(Calculations!R17*Calculations!O18*Q18))</f>
        <v>1958002.9313178125</v>
      </c>
      <c r="S18" s="54">
        <f t="shared" si="0"/>
        <v>1</v>
      </c>
      <c r="T18" s="37">
        <f t="shared" si="5"/>
        <v>1958.0029313178125</v>
      </c>
      <c r="U18" s="142">
        <f>T18/(1+Real_Discount_Rate)^(Calculations!M18-'Assumed Values'!$C$5)</f>
        <v>759.34729472750871</v>
      </c>
    </row>
    <row r="19" spans="1:21" ht="15.75" x14ac:dyDescent="0.25">
      <c r="D19" s="152" t="s">
        <v>93</v>
      </c>
      <c r="E19" s="158">
        <f>($E$6*Nonincap_Injry_Rate)/100000000</f>
        <v>5.8507495418521547</v>
      </c>
      <c r="L19" s="136"/>
      <c r="M19" s="144">
        <f t="shared" si="1"/>
        <v>2033</v>
      </c>
      <c r="N19" s="145">
        <f t="shared" si="6"/>
        <v>42608.013511159676</v>
      </c>
      <c r="O19" s="146">
        <f t="shared" si="7"/>
        <v>1.3384357515704881E-2</v>
      </c>
      <c r="P19" s="147">
        <f t="shared" si="8"/>
        <v>0.38170252367102442</v>
      </c>
      <c r="Q19" s="148">
        <f t="shared" si="4"/>
        <v>1</v>
      </c>
      <c r="R19" s="37">
        <f>IF(M19=Year_Open_to_Traffic?,Calculations!$J$5,Calculations!R18+(Calculations!R18*Calculations!O19*Q19))</f>
        <v>1984209.5425673684</v>
      </c>
      <c r="S19" s="54">
        <f t="shared" si="0"/>
        <v>1</v>
      </c>
      <c r="T19" s="37">
        <f t="shared" si="5"/>
        <v>1984.2095425673683</v>
      </c>
      <c r="U19" s="142">
        <f>T19/(1+Real_Discount_Rate)^(Calculations!M19-'Assumed Values'!$C$5)</f>
        <v>719.16885083992986</v>
      </c>
    </row>
    <row r="20" spans="1:21" ht="15.75" x14ac:dyDescent="0.25">
      <c r="D20" s="152" t="s">
        <v>92</v>
      </c>
      <c r="E20" s="158">
        <f>($E$6*Poss_Injry_Rate/100000000)</f>
        <v>14.606027953649919</v>
      </c>
      <c r="L20" s="136"/>
      <c r="M20" s="137">
        <f t="shared" si="1"/>
        <v>2034</v>
      </c>
      <c r="N20" s="145">
        <f t="shared" si="6"/>
        <v>43178.294397027021</v>
      </c>
      <c r="O20" s="146">
        <f t="shared" si="7"/>
        <v>1.3384357515704881E-2</v>
      </c>
      <c r="P20" s="147">
        <f t="shared" si="8"/>
        <v>0.38681136671248423</v>
      </c>
      <c r="Q20" s="148">
        <f t="shared" si="4"/>
        <v>1</v>
      </c>
      <c r="R20" s="37">
        <f>IF(M20=Year_Open_to_Traffic?,Calculations!$J$5,Calculations!R19+(Calculations!R19*Calculations!O20*Q20))</f>
        <v>2010766.9124711633</v>
      </c>
      <c r="S20" s="54">
        <f t="shared" si="0"/>
        <v>1</v>
      </c>
      <c r="T20" s="37">
        <f t="shared" si="5"/>
        <v>2010.7669124711633</v>
      </c>
      <c r="U20" s="142">
        <f>T20/(1+Real_Discount_Rate)^(Calculations!M20-'Assumed Values'!$C$5)</f>
        <v>681.11632135862646</v>
      </c>
    </row>
    <row r="21" spans="1:21" ht="15.75" x14ac:dyDescent="0.25">
      <c r="D21" s="152" t="s">
        <v>91</v>
      </c>
      <c r="E21" s="158">
        <f>($E$6*Non_Injry_Rate)/100000000</f>
        <v>113.25478736494675</v>
      </c>
      <c r="L21" s="136"/>
      <c r="M21" s="144">
        <f>M20+1</f>
        <v>2035</v>
      </c>
      <c r="N21" s="145">
        <f t="shared" si="6"/>
        <v>43756.208126155187</v>
      </c>
      <c r="O21" s="146">
        <f t="shared" si="7"/>
        <v>1.3384357515704881E-2</v>
      </c>
      <c r="P21" s="147">
        <f>P20*(1+IFERROR(_2025_2040_V_C_Growth,_2018_2045_V_C_Growth))</f>
        <v>0.39198858833570255</v>
      </c>
      <c r="Q21" s="148">
        <f t="shared" si="4"/>
        <v>1</v>
      </c>
      <c r="R21" s="37">
        <f>IF(M21=Year_Open_to_Traffic?,Calculations!$J$5,Calculations!R20+(Calculations!R20*Calculations!O21*Q21))</f>
        <v>2037679.7357084274</v>
      </c>
      <c r="S21" s="54">
        <f t="shared" si="0"/>
        <v>1</v>
      </c>
      <c r="T21" s="37">
        <f t="shared" si="5"/>
        <v>2037.6797357084274</v>
      </c>
      <c r="U21" s="142">
        <f>T21/(1+Real_Discount_Rate)^(Calculations!M21-'Assumed Values'!$C$5)</f>
        <v>645.07722029296451</v>
      </c>
    </row>
    <row r="22" spans="1:21" ht="15.75" x14ac:dyDescent="0.25">
      <c r="D22" s="152" t="s">
        <v>90</v>
      </c>
      <c r="E22" s="158">
        <f>($E$6*Unkn_Injry_Rate)/100000000</f>
        <v>9.8273533193648355</v>
      </c>
      <c r="L22" s="136"/>
      <c r="M22" s="137">
        <f>M21+1</f>
        <v>2036</v>
      </c>
      <c r="N22" s="145">
        <f t="shared" si="6"/>
        <v>44341.856859247237</v>
      </c>
      <c r="O22" s="146">
        <f t="shared" si="7"/>
        <v>1.3384357515704881E-2</v>
      </c>
      <c r="P22" s="147">
        <f t="shared" si="8"/>
        <v>0.39723510374406407</v>
      </c>
      <c r="Q22" s="148">
        <f t="shared" si="4"/>
        <v>1</v>
      </c>
      <c r="R22" s="37">
        <f>IF(M22=Year_Open_to_Traffic?,Calculations!$J$5,Calculations!R21+(Calculations!R21*Calculations!O22*Q22))</f>
        <v>2064952.769793656</v>
      </c>
      <c r="S22" s="54">
        <f t="shared" si="0"/>
        <v>1</v>
      </c>
      <c r="T22" s="37">
        <f t="shared" si="5"/>
        <v>2064.952769793656</v>
      </c>
      <c r="U22" s="142">
        <f>T22/(1+Real_Discount_Rate)^(Calculations!M22-'Assumed Values'!$C$5)</f>
        <v>610.9450134902828</v>
      </c>
    </row>
    <row r="23" spans="1:21" ht="15.75" x14ac:dyDescent="0.25">
      <c r="L23" s="136"/>
      <c r="M23" s="144">
        <f t="shared" si="1"/>
        <v>2037</v>
      </c>
      <c r="N23" s="145">
        <f t="shared" si="6"/>
        <v>44935.344124361611</v>
      </c>
      <c r="O23" s="146">
        <f t="shared" si="7"/>
        <v>1.3384357515704881E-2</v>
      </c>
      <c r="P23" s="147">
        <f t="shared" si="8"/>
        <v>0.40255184039036274</v>
      </c>
      <c r="Q23" s="148">
        <f t="shared" si="4"/>
        <v>1</v>
      </c>
      <c r="R23" s="37">
        <f>IF(M23=Year_Open_to_Traffic?,Calculations!$J$5,Calculations!R22+(Calculations!R22*Calculations!O23*Q23))</f>
        <v>2092590.8359176193</v>
      </c>
      <c r="S23" s="54">
        <f t="shared" si="0"/>
        <v>1</v>
      </c>
      <c r="T23" s="37">
        <f t="shared" si="5"/>
        <v>2092.5908359176192</v>
      </c>
      <c r="U23" s="142">
        <f>T23/(1+Real_Discount_Rate)^(Calculations!M23-'Assumed Values'!$C$5)</f>
        <v>578.61880371334007</v>
      </c>
    </row>
    <row r="24" spans="1:21" ht="15.75" x14ac:dyDescent="0.25">
      <c r="L24" s="136"/>
      <c r="M24" s="137">
        <f t="shared" si="1"/>
        <v>2038</v>
      </c>
      <c r="N24" s="145">
        <f t="shared" si="6"/>
        <v>45536.774835213299</v>
      </c>
      <c r="O24" s="146">
        <f t="shared" si="7"/>
        <v>1.3384357515704881E-2</v>
      </c>
      <c r="P24" s="147">
        <f t="shared" si="8"/>
        <v>0.40793973814075229</v>
      </c>
      <c r="Q24" s="148">
        <f t="shared" si="4"/>
        <v>1</v>
      </c>
      <c r="R24" s="37">
        <f>IF(M24=Year_Open_to_Traffic?,Calculations!$J$5,Calculations!R23+(Calculations!R23*Calculations!O24*Q24))</f>
        <v>2120598.8197996286</v>
      </c>
      <c r="S24" s="54">
        <f t="shared" si="0"/>
        <v>1</v>
      </c>
      <c r="T24" s="37">
        <f t="shared" si="5"/>
        <v>2120.5988197996285</v>
      </c>
      <c r="U24" s="142">
        <f>T24/(1+Real_Discount_Rate)^(Calculations!M24-'Assumed Values'!$C$5)</f>
        <v>548.00303238088679</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46146.255309719949</v>
      </c>
      <c r="O25" s="146">
        <f t="shared" si="7"/>
        <v>1.3384357515704881E-2</v>
      </c>
      <c r="P25" s="147">
        <f t="shared" si="8"/>
        <v>0.41339974944089114</v>
      </c>
      <c r="Q25" s="148">
        <f t="shared" si="4"/>
        <v>1</v>
      </c>
      <c r="R25" s="37">
        <f>IF(M25=Year_Open_to_Traffic?,Calculations!$J$5,Calculations!R24+(Calculations!R24*Calculations!O25*Q25))</f>
        <v>2148981.6725512086</v>
      </c>
      <c r="S25" s="54">
        <f t="shared" si="0"/>
        <v>1</v>
      </c>
      <c r="T25" s="37">
        <f t="shared" si="5"/>
        <v>2148.9816725512087</v>
      </c>
      <c r="U25" s="142">
        <f>T25/(1+Real_Discount_Rate)^(Calculations!M25-'Assumed Values'!$C$5)</f>
        <v>519.00719708968506</v>
      </c>
    </row>
    <row r="26" spans="1:21" ht="15.75" x14ac:dyDescent="0.25">
      <c r="A26" s="181"/>
      <c r="B26" s="181"/>
      <c r="D26" s="160">
        <f>Calculations!E17</f>
        <v>0.20515013663320533</v>
      </c>
      <c r="E26" s="160">
        <f>Calculations!E18</f>
        <v>1.037000851949138</v>
      </c>
      <c r="F26" s="160">
        <f>Calculations!E19</f>
        <v>5.8507495418521547</v>
      </c>
      <c r="G26" s="160">
        <f>Calculations!E20</f>
        <v>14.606027953649919</v>
      </c>
      <c r="H26" s="160">
        <f>Calculations!E21</f>
        <v>113.25478736494675</v>
      </c>
      <c r="I26" s="160">
        <f>Calculations!E22</f>
        <v>9.8273533193648355</v>
      </c>
      <c r="J26" s="182"/>
      <c r="L26" s="136"/>
      <c r="M26" s="137">
        <f t="shared" si="1"/>
        <v>2040</v>
      </c>
      <c r="N26" s="145">
        <f t="shared" si="6"/>
        <v>46763.893288796236</v>
      </c>
      <c r="O26" s="146">
        <f t="shared" si="7"/>
        <v>1.3384357515704881E-2</v>
      </c>
      <c r="P26" s="147">
        <f t="shared" si="8"/>
        <v>0.41893283948431087</v>
      </c>
      <c r="Q26" s="148">
        <f t="shared" si="4"/>
        <v>1</v>
      </c>
      <c r="R26" s="37">
        <f>IF(M26=Year_Open_to_Traffic?,Calculations!$J$5,Calculations!R25+(Calculations!R25*Calculations!O26*Q26))</f>
        <v>2177744.4115513316</v>
      </c>
      <c r="S26" s="54">
        <f t="shared" si="0"/>
        <v>1</v>
      </c>
      <c r="T26" s="37">
        <f t="shared" si="5"/>
        <v>2177.7444115513317</v>
      </c>
      <c r="U26" s="142">
        <f>T26/(1+Real_Discount_Rate)^(Calculations!M26-'Assumed Values'!$C$5)</f>
        <v>491.54558408295082</v>
      </c>
    </row>
    <row r="27" spans="1:21" ht="15.75" x14ac:dyDescent="0.25">
      <c r="A27" s="161" t="s">
        <v>95</v>
      </c>
      <c r="B27" s="162" t="s">
        <v>96</v>
      </c>
      <c r="D27" s="163">
        <f>D$26*'Value of Statistical Life'!D17*Appropriate_Crash_Reduction_Factor</f>
        <v>0</v>
      </c>
      <c r="E27" s="163">
        <f>E$26*'Value of Statistical Life'!E17*Appropriate_Crash_Reduction_Factor</f>
        <v>9.979681398817726E-3</v>
      </c>
      <c r="F27" s="163">
        <f>F$26*'Value of Statistical Life'!F17*Appropriate_Crash_Reduction_Factor</f>
        <v>0.13674137799235184</v>
      </c>
      <c r="G27" s="163">
        <f>G$26*'Value of Statistical Life'!G17*Appropriate_Crash_Reduction_Factor</f>
        <v>0.95850013601914086</v>
      </c>
      <c r="H27" s="163">
        <f>H$26*'Value of Statistical Life'!H17*Appropriate_Crash_Reduction_Factor</f>
        <v>29.343771783278356</v>
      </c>
      <c r="I27" s="163">
        <f>I$26*'Value of Statistical Life'!I17*Appropriate_Crash_Reduction_Factor</f>
        <v>1.2018145540144201</v>
      </c>
      <c r="J27" s="163">
        <f t="shared" ref="J27:J33" si="9">SUM(D27:I27)</f>
        <v>31.650807532703084</v>
      </c>
      <c r="K27" s="164"/>
      <c r="L27" s="136"/>
      <c r="M27" s="144">
        <f t="shared" si="1"/>
        <v>2041</v>
      </c>
      <c r="N27" s="145">
        <f t="shared" si="6"/>
        <v>47389.797955399757</v>
      </c>
      <c r="O27" s="146">
        <f t="shared" si="7"/>
        <v>1.3384357515704881E-2</v>
      </c>
      <c r="P27" s="147">
        <f t="shared" si="8"/>
        <v>0.4245399863830383</v>
      </c>
      <c r="Q27" s="148">
        <f t="shared" si="4"/>
        <v>1</v>
      </c>
      <c r="R27" s="37">
        <f>IF(M27=Year_Open_to_Traffic?,Calculations!$J$5,Calculations!R26+(Calculations!R26*Calculations!O27*Q27))</f>
        <v>2206892.121333363</v>
      </c>
      <c r="S27" s="54">
        <f t="shared" si="0"/>
        <v>1</v>
      </c>
      <c r="T27" s="37">
        <f t="shared" si="5"/>
        <v>2206.8921213333629</v>
      </c>
      <c r="U27" s="142">
        <f>T27/(1+Real_Discount_Rate)^(Calculations!M27-'Assumed Values'!$C$5)</f>
        <v>465.53701487437661</v>
      </c>
    </row>
    <row r="28" spans="1:21" ht="15.75" x14ac:dyDescent="0.25">
      <c r="A28" s="161" t="s">
        <v>61</v>
      </c>
      <c r="B28" s="165" t="s">
        <v>62</v>
      </c>
      <c r="D28" s="163">
        <f>D$26*'Value of Statistical Life'!D18*Appropriate_Crash_Reduction_Factor</f>
        <v>0</v>
      </c>
      <c r="E28" s="163">
        <f>E$26*'Value of Statistical Life'!E18*Appropriate_Crash_Reduction_Factor</f>
        <v>0.16100184867123776</v>
      </c>
      <c r="F28" s="163">
        <f>F$26*'Value of Statistical Life'!F18*Appropriate_Crash_Reduction_Factor</f>
        <v>1.2588496117247263</v>
      </c>
      <c r="G28" s="163">
        <f>G$26*'Value of Statistical Life'!G18*Appropriate_Crash_Reduction_Factor</f>
        <v>2.8196761692185728</v>
      </c>
      <c r="H28" s="163">
        <f>H$26*'Value of Statistical Life'!H18*Appropriate_Crash_Reduction_Factor</f>
        <v>2.3012919773407723</v>
      </c>
      <c r="I28" s="163">
        <f>I$26*'Value of Statistical Life'!I18*Appropriate_Crash_Reduction_Factor</f>
        <v>1.1485149205515128</v>
      </c>
      <c r="J28" s="163">
        <f t="shared" si="9"/>
        <v>7.6893345275068228</v>
      </c>
      <c r="K28" s="164"/>
      <c r="L28" s="136"/>
      <c r="M28" s="137">
        <f t="shared" si="1"/>
        <v>2042</v>
      </c>
      <c r="N28" s="145">
        <f t="shared" si="6"/>
        <v>48024.079953831846</v>
      </c>
      <c r="O28" s="146">
        <f t="shared" si="7"/>
        <v>1.3384357515704881E-2</v>
      </c>
      <c r="P28" s="147">
        <f t="shared" si="8"/>
        <v>0.43022218134050139</v>
      </c>
      <c r="Q28" s="148">
        <f t="shared" si="4"/>
        <v>1</v>
      </c>
      <c r="R28" s="37">
        <f>IF(M28=Year_Open_to_Traffic?,Calculations!$J$5,Calculations!R27+(Calculations!R27*Calculations!O28*Q28))</f>
        <v>2236429.9544838811</v>
      </c>
      <c r="S28" s="54">
        <f t="shared" si="0"/>
        <v>1</v>
      </c>
      <c r="T28" s="37">
        <f t="shared" si="5"/>
        <v>2236.4299544838809</v>
      </c>
      <c r="U28" s="142">
        <f>T28/(1+Real_Discount_Rate)^(Calculations!M28-'Assumed Values'!$C$5)</f>
        <v>440.90460627873762</v>
      </c>
    </row>
    <row r="29" spans="1:21" ht="15.75" x14ac:dyDescent="0.25">
      <c r="A29" s="161" t="s">
        <v>63</v>
      </c>
      <c r="B29" s="165" t="s">
        <v>64</v>
      </c>
      <c r="D29" s="163">
        <f>D$26*'Value of Statistical Life'!D19*Appropriate_Crash_Reduction_Factor</f>
        <v>0</v>
      </c>
      <c r="E29" s="163">
        <f>E$26*'Value of Statistical Life'!E19*Appropriate_Crash_Reduction_Factor</f>
        <v>6.0708518675147226E-2</v>
      </c>
      <c r="F29" s="163">
        <f>F$26*'Value of Statistical Life'!F19*Appropriate_Crash_Reduction_Factor</f>
        <v>0.1785321118198934</v>
      </c>
      <c r="G29" s="163">
        <f>G$26*'Value of Statistical Life'!G19*Appropriate_Crash_Reduction_Factor</f>
        <v>0.26137194902497457</v>
      </c>
      <c r="H29" s="163">
        <f>H$26*'Value of Statistical Life'!H19*Appropriate_Crash_Reduction_Factor</f>
        <v>6.2788454115126485E-2</v>
      </c>
      <c r="I29" s="163">
        <f>I$26*'Value of Statistical Life'!I19*Appropriate_Crash_Reduction_Factor</f>
        <v>0.24412718021833352</v>
      </c>
      <c r="J29" s="163">
        <f t="shared" si="9"/>
        <v>0.80752821385347517</v>
      </c>
      <c r="K29" s="164"/>
      <c r="L29" s="136"/>
      <c r="M29" s="144">
        <f t="shared" si="1"/>
        <v>2043</v>
      </c>
      <c r="N29" s="145">
        <f t="shared" si="6"/>
        <v>48666.851409296731</v>
      </c>
      <c r="O29" s="146">
        <f t="shared" si="7"/>
        <v>1.3384357515704881E-2</v>
      </c>
      <c r="P29" s="147">
        <f t="shared" si="8"/>
        <v>0.43598042882674909</v>
      </c>
      <c r="Q29" s="148">
        <f t="shared" si="4"/>
        <v>1</v>
      </c>
      <c r="R29" s="37">
        <f>IF(M29=Year_Open_to_Traffic?,Calculations!$J$5,Calculations!R28+(Calculations!R28*Calculations!O29*Q29))</f>
        <v>2266363.1325535248</v>
      </c>
      <c r="S29" s="54">
        <f t="shared" si="0"/>
        <v>1</v>
      </c>
      <c r="T29" s="37">
        <f t="shared" si="5"/>
        <v>2266.3631325535248</v>
      </c>
      <c r="U29" s="142">
        <f>T29/(1+Real_Discount_Rate)^(Calculations!M29-'Assumed Values'!$C$5)</f>
        <v>417.57554313971337</v>
      </c>
    </row>
    <row r="30" spans="1:21" ht="15.75" x14ac:dyDescent="0.25">
      <c r="A30" s="161" t="s">
        <v>65</v>
      </c>
      <c r="B30" s="165" t="s">
        <v>66</v>
      </c>
      <c r="D30" s="163">
        <f>D$26*'Value of Statistical Life'!D20*Appropriate_Crash_Reduction_Factor</f>
        <v>0</v>
      </c>
      <c r="E30" s="163">
        <f>E$26*'Value of Statistical Life'!E20*Appropriate_Crash_Reduction_Factor</f>
        <v>4.1919307638851183E-2</v>
      </c>
      <c r="F30" s="163">
        <f>F$26*'Value of Statistical Life'!F20*Appropriate_Crash_Reduction_Factor</f>
        <v>5.2275277006540638E-2</v>
      </c>
      <c r="G30" s="163">
        <f>G$26*'Value of Statistical Life'!G20*Appropriate_Crash_Reduction_Factor</f>
        <v>4.3800556627405389E-2</v>
      </c>
      <c r="H30" s="163">
        <f>H$26*'Value of Statistical Life'!H20*Appropriate_Crash_Reduction_Factor</f>
        <v>2.536907236974808E-3</v>
      </c>
      <c r="I30" s="163">
        <f>I$26*'Value of Statistical Life'!I20*Appropriate_Crash_Reduction_Factor</f>
        <v>0.13254741063026515</v>
      </c>
      <c r="J30" s="163">
        <f t="shared" si="9"/>
        <v>0.27307945914003717</v>
      </c>
      <c r="K30" s="164"/>
      <c r="L30" s="136"/>
      <c r="M30" s="144">
        <f t="shared" si="1"/>
        <v>2044</v>
      </c>
      <c r="N30" s="145">
        <f t="shared" si="6"/>
        <v>49318.225947722443</v>
      </c>
      <c r="O30" s="146">
        <f t="shared" si="7"/>
        <v>1.3384357515704881E-2</v>
      </c>
      <c r="P30" s="147">
        <f t="shared" si="8"/>
        <v>0.44181574675601665</v>
      </c>
      <c r="Q30" s="148">
        <f t="shared" si="4"/>
        <v>1</v>
      </c>
      <c r="R30" s="37">
        <f>IF(M30=Year_Open_to_Traffic?,Calculations!$J$5,Calculations!R29+(Calculations!R29*Calculations!O30*Q30))</f>
        <v>2296696.946980034</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1.1573759108433942E-2</v>
      </c>
      <c r="F31" s="163">
        <f>F$26*'Value of Statistical Life'!F21*Appropriate_Crash_Reduction_Factor</f>
        <v>1.0156901204655341E-2</v>
      </c>
      <c r="G31" s="163">
        <f>G$26*'Value of Statistical Life'!G21*Appropriate_Crash_Reduction_Factor</f>
        <v>5.8073567143712085E-3</v>
      </c>
      <c r="H31" s="163">
        <f>H$26*'Value of Statistical Life'!H21*Appropriate_Crash_Reduction_Factor</f>
        <v>0</v>
      </c>
      <c r="I31" s="163">
        <f>I$26*'Value of Statistical Life'!I21*Appropriate_Crash_Reduction_Factor</f>
        <v>1.6977735594534693E-2</v>
      </c>
      <c r="J31" s="163">
        <f t="shared" si="9"/>
        <v>4.4515752621995183E-2</v>
      </c>
      <c r="K31" s="164"/>
      <c r="L31" s="136"/>
      <c r="M31" s="144">
        <f t="shared" si="1"/>
        <v>2045</v>
      </c>
      <c r="N31" s="145">
        <f t="shared" si="6"/>
        <v>49978.318715847076</v>
      </c>
      <c r="O31" s="146">
        <f t="shared" si="7"/>
        <v>1.3384357515704881E-2</v>
      </c>
      <c r="P31" s="147">
        <f t="shared" si="8"/>
        <v>0.44772916666666729</v>
      </c>
      <c r="Q31" s="148">
        <f t="shared" si="4"/>
        <v>1</v>
      </c>
      <c r="R31" s="37">
        <f>IF(M31=Year_Open_to_Traffic?,Calculations!$J$5,Calculations!R30+(Calculations!R30*Calculations!O31*Q31))</f>
        <v>2327436.7600236428</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5.1771230532708769E-3</v>
      </c>
      <c r="F32" s="163">
        <f>F$26*'Value of Statistical Life'!F22*Appropriate_Crash_Reduction_Factor</f>
        <v>1.6545919704357896E-3</v>
      </c>
      <c r="G32" s="163">
        <f>G$26*'Value of Statistical Life'!G22*Appropriate_Crash_Reduction_Factor</f>
        <v>5.3165941751285705E-4</v>
      </c>
      <c r="H32" s="163">
        <f>H$26*'Value of Statistical Life'!H22*Appropriate_Crash_Reduction_Factor</f>
        <v>9.5134021386555283E-4</v>
      </c>
      <c r="I32" s="163">
        <f>I$26*'Value of Statistical Life'!I22*Appropriate_Crash_Reduction_Factor</f>
        <v>7.6771284130878106E-3</v>
      </c>
      <c r="J32" s="163">
        <f t="shared" si="9"/>
        <v>1.5991843068172886E-2</v>
      </c>
      <c r="K32" s="164"/>
      <c r="L32" s="136"/>
      <c r="M32" s="144">
        <f t="shared" si="1"/>
        <v>2046</v>
      </c>
      <c r="N32" s="145">
        <f t="shared" si="6"/>
        <v>50647.246401573815</v>
      </c>
      <c r="O32" s="146">
        <f t="shared" si="7"/>
        <v>1.3384357515704881E-2</v>
      </c>
      <c r="P32" s="147">
        <f t="shared" si="8"/>
        <v>0.45372173390354259</v>
      </c>
      <c r="Q32" s="148">
        <f t="shared" si="4"/>
        <v>1</v>
      </c>
      <c r="R32" s="37">
        <f>IF(M32=Year_Open_to_Traffic?,Calculations!$J$5,Calculations!R31+(Calculations!R31*Calculations!O32*Q32))</f>
        <v>2358588.005714993</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5.7442038257297497E-2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5.7442038257297497E-2</v>
      </c>
      <c r="K33" s="164"/>
      <c r="L33" s="136"/>
      <c r="M33" s="144">
        <f t="shared" si="1"/>
        <v>2047</v>
      </c>
      <c r="N33" s="145">
        <f t="shared" si="6"/>
        <v>51325.127254598476</v>
      </c>
      <c r="O33" s="146">
        <f t="shared" si="7"/>
        <v>1.3384357515704881E-2</v>
      </c>
      <c r="P33" s="147">
        <f t="shared" si="8"/>
        <v>0.45979450780275311</v>
      </c>
      <c r="Q33" s="148">
        <f t="shared" si="4"/>
        <v>1</v>
      </c>
      <c r="R33" s="37">
        <f>IF(M33=Year_Open_to_Traffic?,Calculations!$J$5,Calculations!R32+(Calculations!R32*Calculations!O33*Q33))</f>
        <v>2390156.1908157361</v>
      </c>
      <c r="S33" s="54">
        <f t="shared" si="0"/>
        <v>0</v>
      </c>
      <c r="T33" s="37">
        <f t="shared" si="5"/>
        <v>0</v>
      </c>
      <c r="U33" s="142">
        <f>T33/(1+Real_Discount_Rate)^(Calculations!M33-'Assumed Values'!$C$5)</f>
        <v>0</v>
      </c>
    </row>
    <row r="34" spans="1:21" ht="15.75" x14ac:dyDescent="0.25">
      <c r="J34" s="166"/>
      <c r="L34" s="136"/>
      <c r="M34" s="144">
        <f t="shared" si="1"/>
        <v>2048</v>
      </c>
      <c r="N34" s="145">
        <f t="shared" si="6"/>
        <v>52012.081107313068</v>
      </c>
      <c r="O34" s="146">
        <f t="shared" si="7"/>
        <v>1.3384357515704881E-2</v>
      </c>
      <c r="P34" s="147">
        <f t="shared" si="8"/>
        <v>0.46594856187894274</v>
      </c>
      <c r="Q34" s="148">
        <f t="shared" si="4"/>
        <v>1</v>
      </c>
      <c r="R34" s="37">
        <f>IF(M34=Year_Open_to_Traffic?,Calculations!$J$5,Calculations!R33+(Calculations!R33*Calculations!O34*Q34))</f>
        <v>2422146.8957919893</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52708.229395989183</v>
      </c>
      <c r="O35" s="146">
        <f t="shared" si="7"/>
        <v>1.3384357515704881E-2</v>
      </c>
      <c r="P35" s="147">
        <f t="shared" si="8"/>
        <v>0.47218498401505904</v>
      </c>
      <c r="Q35" s="148">
        <f t="shared" si="4"/>
        <v>1</v>
      </c>
      <c r="R35" s="37">
        <f>IF(M35=Year_Open_to_Traffic?,Calculations!$J$5,Calculations!R34+(Calculations!R34*Calculations!O35*Q35))</f>
        <v>2454565.7758008242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53413.69518224489</v>
      </c>
      <c r="O36" s="146">
        <f t="shared" si="7"/>
        <v>1.3384357515704881E-2</v>
      </c>
      <c r="P36" s="147">
        <f t="shared" si="8"/>
        <v>0.47850487665466396</v>
      </c>
      <c r="Q36" s="148">
        <f t="shared" si="4"/>
        <v>1</v>
      </c>
      <c r="R36" s="37">
        <f>IF(M36=Year_Open_to_Traffic?,Calculations!$J$5,Calculations!R35+(Calculations!R35*Calculations!O36*Q36))</f>
        <v>2487418.5616899561</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14691.43198466668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2018-10-23T13:42:16Z</dcterms:modified>
</cp:coreProperties>
</file>