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gac-my.sharepoint.com/personal/nayak_h-gac_com/Documents/"/>
    </mc:Choice>
  </mc:AlternateContent>
  <xr:revisionPtr revIDLastSave="1" documentId="8_{4FDC369E-8F5A-40E5-B1C9-FEDFADB61B7D}" xr6:coauthVersionLast="47" xr6:coauthVersionMax="47" xr10:uidLastSave="{05C0FA4F-A38B-47C2-A61C-796F0F3E269E}"/>
  <bookViews>
    <workbookView xWindow="-120" yWindow="-120" windowWidth="29040" windowHeight="15720" xr2:uid="{B5FCAD0C-DE9B-44B1-A191-4D4C20E9DA2A}"/>
  </bookViews>
  <sheets>
    <sheet name="Portfolio" sheetId="1" r:id="rId1"/>
  </sheets>
  <externalReferences>
    <externalReference r:id="rId2"/>
  </externalReferences>
  <definedNames>
    <definedName name="PaymentsPerYear">'[1]Interest 22'!$E$6</definedName>
    <definedName name="s">'[1]Regular RLF -2024'!$E$4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29" i="1"/>
  <c r="B29" i="1"/>
  <c r="B28" i="1"/>
  <c r="H27" i="1"/>
  <c r="F27" i="1"/>
  <c r="D27" i="1"/>
  <c r="H26" i="1"/>
  <c r="H29" i="1" s="1"/>
  <c r="F26" i="1"/>
  <c r="D26" i="1"/>
  <c r="D29" i="1" s="1"/>
  <c r="B26" i="1"/>
  <c r="H25" i="1"/>
  <c r="F25" i="1"/>
  <c r="D25" i="1"/>
  <c r="P24" i="1"/>
  <c r="P25" i="1" s="1"/>
  <c r="D22" i="1"/>
  <c r="F21" i="1"/>
  <c r="F20" i="1"/>
  <c r="F19" i="1"/>
  <c r="D19" i="1"/>
  <c r="F18" i="1"/>
  <c r="F22" i="1" s="1"/>
  <c r="D18" i="1"/>
  <c r="B18" i="1"/>
  <c r="B22" i="1" s="1"/>
  <c r="J22" i="1" s="1"/>
  <c r="F17" i="1"/>
  <c r="D17" i="1"/>
  <c r="F16" i="1"/>
  <c r="F9" i="1"/>
  <c r="F13" i="1" s="1"/>
  <c r="D9" i="1"/>
  <c r="D13" i="1" s="1"/>
  <c r="H7" i="1"/>
  <c r="H13" i="1" s="1"/>
  <c r="F7" i="1"/>
  <c r="D7" i="1"/>
  <c r="B7" i="1"/>
  <c r="H5" i="1"/>
  <c r="H11" i="1" s="1"/>
  <c r="F5" i="1"/>
  <c r="F11" i="1" s="1"/>
  <c r="D5" i="1"/>
  <c r="D11" i="1" s="1"/>
  <c r="B4" i="1"/>
  <c r="B13" i="1" s="1"/>
  <c r="J13" i="1" s="1"/>
  <c r="H3" i="1"/>
  <c r="J29" i="1" l="1"/>
  <c r="B5" i="1"/>
  <c r="B11" i="1" s="1"/>
  <c r="J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Nayak, Arathi</author>
  </authors>
  <commentList>
    <comment ref="F10" authorId="0" shapeId="0" xr:uid="{B97D5BA5-6118-41CC-9674-8A23A4E0894D}">
      <text>
        <r>
          <rPr>
            <b/>
            <sz val="9"/>
            <color indexed="81"/>
            <rFont val="Tahoma"/>
            <family val="2"/>
          </rPr>
          <t>Nayak, Arathi:</t>
        </r>
        <r>
          <rPr>
            <sz val="9"/>
            <color indexed="81"/>
            <rFont val="Tahoma"/>
            <family val="2"/>
          </rPr>
          <t xml:space="preserve">
Gomez &amp; Barrios Logistics</t>
        </r>
      </text>
    </comment>
  </commentList>
</comments>
</file>

<file path=xl/sharedStrings.xml><?xml version="1.0" encoding="utf-8"?>
<sst xmlns="http://schemas.openxmlformats.org/spreadsheetml/2006/main" count="33" uniqueCount="29">
  <si>
    <t>EDAC.22.3001</t>
  </si>
  <si>
    <t>EDAC.22.0105</t>
  </si>
  <si>
    <t>EDAC.20.0105</t>
  </si>
  <si>
    <t>EDAC.09.0107</t>
  </si>
  <si>
    <t xml:space="preserve">FortBend </t>
  </si>
  <si>
    <t xml:space="preserve">CARES 2 </t>
  </si>
  <si>
    <t>CARES 1</t>
  </si>
  <si>
    <t>Regulr RLF</t>
  </si>
  <si>
    <t>Total</t>
  </si>
  <si>
    <t xml:space="preserve">RLF Awarded </t>
  </si>
  <si>
    <t>RLF disbursed</t>
  </si>
  <si>
    <t xml:space="preserve">Avilable to lend from original award </t>
  </si>
  <si>
    <t>Committed</t>
  </si>
  <si>
    <t xml:space="preserve">Principal Collection till date </t>
  </si>
  <si>
    <t>WriteOff</t>
  </si>
  <si>
    <t>New Loans Disbursed</t>
  </si>
  <si>
    <t xml:space="preserve">Yet to Disburse </t>
  </si>
  <si>
    <t>Total avilable to lend for Loans</t>
  </si>
  <si>
    <t>Outstanding RLF</t>
  </si>
  <si>
    <t>Admin  from original Award</t>
  </si>
  <si>
    <t>MIP Expense as of 12/10/2024</t>
  </si>
  <si>
    <t>Balance available from original admin</t>
  </si>
  <si>
    <t>Interest Collected -</t>
  </si>
  <si>
    <t>Bank Interest Allotted</t>
  </si>
  <si>
    <t xml:space="preserve">Late Fees Collected </t>
  </si>
  <si>
    <t>Funds Avilable for admin</t>
  </si>
  <si>
    <t xml:space="preserve">we will be transfering overage to LDC before we close 2024 </t>
  </si>
  <si>
    <t>MIP Expense as of 6/112025</t>
  </si>
  <si>
    <t>We recover overcharged administrative expenses from the available RLF regular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</si>
</sst>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2" borderId="0" xfId="0" applyFont="1" applyFill="1"/>
    <xf numFmtId="43" fontId="2" fillId="2" borderId="0" xfId="1" applyFont="1" applyFill="1"/>
    <xf numFmtId="164" fontId="2" fillId="2" borderId="0" xfId="1" applyNumberFormat="1" applyFont="1" applyFill="1"/>
    <xf numFmtId="164" fontId="0" fillId="0" borderId="0" xfId="1" applyNumberFormat="1" applyFont="1"/>
    <xf numFmtId="43" fontId="0" fillId="0" borderId="0" xfId="1" applyFont="1"/>
    <xf numFmtId="164" fontId="0" fillId="0" borderId="1" xfId="1" applyNumberFormat="1" applyFont="1" applyBorder="1"/>
    <xf numFmtId="43" fontId="0" fillId="0" borderId="1" xfId="1" applyFont="1" applyBorder="1"/>
    <xf numFmtId="4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64" fontId="0" fillId="0" borderId="0" xfId="1" applyNumberFormat="1" applyFont="1" applyBorder="1"/>
    <xf numFmtId="43" fontId="0" fillId="0" borderId="0" xfId="1" applyFont="1" applyBorder="1"/>
    <xf numFmtId="165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0" fontId="2" fillId="3" borderId="0" xfId="0" applyFont="1" applyFill="1"/>
    <xf numFmtId="165" fontId="0" fillId="4" borderId="0" xfId="1" applyNumberFormat="1" applyFont="1" applyFill="1"/>
    <xf numFmtId="43" fontId="0" fillId="5" borderId="0" xfId="1" applyFont="1" applyFill="1"/>
    <xf numFmtId="0" fontId="2" fillId="6" borderId="0" xfId="0" applyFont="1" applyFill="1"/>
    <xf numFmtId="0" fontId="0" fillId="0" borderId="1" xfId="0" applyBorder="1"/>
    <xf numFmtId="0" fontId="1" fillId="0" borderId="0" xfId="0" applyFont="1"/>
    <xf numFmtId="44" fontId="0" fillId="0" borderId="0" xfId="2" applyFont="1"/>
    <xf numFmtId="44" fontId="0" fillId="0" borderId="0" xfId="0" applyNumberFormat="1"/>
    <xf numFmtId="44" fontId="0" fillId="0" borderId="1" xfId="0" applyNumberFormat="1" applyBorder="1"/>
    <xf numFmtId="44" fontId="1" fillId="0" borderId="0" xfId="0" applyNumberFormat="1" applyFont="1"/>
    <xf numFmtId="2" fontId="0" fillId="0" borderId="0" xfId="0" applyNumberFormat="1"/>
    <xf numFmtId="44" fontId="0" fillId="5" borderId="0" xfId="0" applyNumberFormat="1" applyFill="1"/>
    <xf numFmtId="0" fontId="0" fillId="4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25</xdr:col>
      <xdr:colOff>21676</xdr:colOff>
      <xdr:row>27</xdr:row>
      <xdr:rowOff>93705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37C4B-8D7B-4471-AF94-7451D1A6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2550" y="361950"/>
          <a:ext cx="6351991" cy="3021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-my.sharepoint.com/personal/nayak_h-gac_com/Documents/EDA%20Current%20Loan%202025%20June.xlsx" TargetMode="External"/><Relationship Id="rId1" Type="http://schemas.openxmlformats.org/officeDocument/2006/relationships/externalLinkPath" Target="EDA%20Current%20Loan%202025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es Act - 2025"/>
      <sheetName val="Fortbend 2025"/>
      <sheetName val="Cares Act - 2021"/>
      <sheetName val="Cares Act - 2022"/>
      <sheetName val="FortBend  (3)"/>
      <sheetName val="Cares Act - 2023 (2)"/>
      <sheetName val="Cares Act - 2023 "/>
      <sheetName val="CARES ACT-2 - 2025"/>
      <sheetName val="Regular RLF -2025"/>
      <sheetName val="Interest 2025"/>
      <sheetName val="Cares Act - 2024"/>
      <sheetName val="Regular RLF 2024"/>
      <sheetName val="Avdesh Calculation"/>
      <sheetName val="CARES ACT-2 - 2023"/>
      <sheetName val="CARES ACT-2 - 2024"/>
      <sheetName val="Regular RLF -2024"/>
      <sheetName val="GL"/>
      <sheetName val="FortBend  (2)"/>
      <sheetName val="CDFI"/>
      <sheetName val="FortBend "/>
      <sheetName val="CARES 2 Fund "/>
      <sheetName val="Fortbend 2023"/>
      <sheetName val="Fortbend 2024"/>
      <sheetName val="Portfolio"/>
      <sheetName val="Other EDA"/>
      <sheetName val="Bank Interest CARES 2"/>
      <sheetName val="Bank Interest"/>
      <sheetName val="Interest 22"/>
      <sheetName val="ESRI_MAPINFO_SHEET"/>
    </sheetNames>
    <sheetDataSet>
      <sheetData sheetId="0">
        <row r="8">
          <cell r="AY8">
            <v>3756.72</v>
          </cell>
        </row>
        <row r="9">
          <cell r="AY9">
            <v>3591.59</v>
          </cell>
        </row>
        <row r="10">
          <cell r="AY10">
            <v>3408.37</v>
          </cell>
        </row>
        <row r="11">
          <cell r="AY11">
            <v>4186.9500000000007</v>
          </cell>
        </row>
        <row r="12">
          <cell r="AY12">
            <v>4104.16</v>
          </cell>
        </row>
        <row r="13">
          <cell r="AY13">
            <v>4152.6000000000004</v>
          </cell>
        </row>
        <row r="26">
          <cell r="AZ26">
            <v>1343711.58</v>
          </cell>
        </row>
      </sheetData>
      <sheetData sheetId="1">
        <row r="32">
          <cell r="AI32">
            <v>844.84</v>
          </cell>
        </row>
        <row r="40">
          <cell r="AK40">
            <v>1489.86</v>
          </cell>
        </row>
        <row r="41">
          <cell r="AK41">
            <v>1319.5299999999997</v>
          </cell>
        </row>
        <row r="42">
          <cell r="AK42">
            <v>1451.1399999999999</v>
          </cell>
        </row>
        <row r="43">
          <cell r="AK43">
            <v>1577.14</v>
          </cell>
        </row>
        <row r="44">
          <cell r="AK44">
            <v>3105.1699999999996</v>
          </cell>
        </row>
        <row r="45">
          <cell r="AK45">
            <v>1658.1300000000006</v>
          </cell>
        </row>
        <row r="52">
          <cell r="AJ52">
            <v>334290.09000000008</v>
          </cell>
        </row>
      </sheetData>
      <sheetData sheetId="2"/>
      <sheetData sheetId="3"/>
      <sheetData sheetId="4"/>
      <sheetData sheetId="5"/>
      <sheetData sheetId="6"/>
      <sheetData sheetId="7">
        <row r="16">
          <cell r="AI16">
            <v>2654.2299999999996</v>
          </cell>
        </row>
        <row r="17">
          <cell r="AI17">
            <v>2050.94</v>
          </cell>
        </row>
        <row r="18">
          <cell r="AI18">
            <v>2035.21</v>
          </cell>
        </row>
        <row r="19">
          <cell r="AI19">
            <v>1159.6500000000001</v>
          </cell>
        </row>
        <row r="20">
          <cell r="AI20">
            <v>1151.08</v>
          </cell>
        </row>
        <row r="21">
          <cell r="AI21">
            <v>1730.0900000000001</v>
          </cell>
        </row>
        <row r="22">
          <cell r="AI22">
            <v>0</v>
          </cell>
        </row>
        <row r="23">
          <cell r="AI23">
            <v>0</v>
          </cell>
        </row>
        <row r="24">
          <cell r="AI24">
            <v>0</v>
          </cell>
        </row>
        <row r="25">
          <cell r="AI25">
            <v>0</v>
          </cell>
        </row>
        <row r="26">
          <cell r="AI26">
            <v>0</v>
          </cell>
        </row>
        <row r="27">
          <cell r="AI27">
            <v>0</v>
          </cell>
        </row>
        <row r="28">
          <cell r="AH28">
            <v>263662.51</v>
          </cell>
        </row>
      </sheetData>
      <sheetData sheetId="8">
        <row r="18">
          <cell r="E18">
            <v>102813</v>
          </cell>
        </row>
        <row r="19">
          <cell r="E19">
            <v>16789.25</v>
          </cell>
        </row>
        <row r="20">
          <cell r="E20">
            <v>70187.680000000037</v>
          </cell>
        </row>
        <row r="21">
          <cell r="E21">
            <v>102579.28</v>
          </cell>
        </row>
        <row r="22">
          <cell r="E22">
            <v>77296.149999999994</v>
          </cell>
        </row>
        <row r="23">
          <cell r="E23">
            <v>15829.710000000003</v>
          </cell>
        </row>
        <row r="24">
          <cell r="E24">
            <v>49129.81</v>
          </cell>
        </row>
        <row r="25">
          <cell r="E25">
            <v>4244.26</v>
          </cell>
        </row>
        <row r="26">
          <cell r="E26">
            <v>15790.609</v>
          </cell>
        </row>
      </sheetData>
      <sheetData sheetId="9"/>
      <sheetData sheetId="10">
        <row r="20">
          <cell r="AW20">
            <v>95245.239999999991</v>
          </cell>
        </row>
        <row r="43">
          <cell r="AX43">
            <v>14954.35</v>
          </cell>
        </row>
        <row r="44">
          <cell r="AX44">
            <v>88.92</v>
          </cell>
        </row>
      </sheetData>
      <sheetData sheetId="11"/>
      <sheetData sheetId="12"/>
      <sheetData sheetId="13"/>
      <sheetData sheetId="14">
        <row r="39">
          <cell r="AH39">
            <v>40888.87000000001</v>
          </cell>
        </row>
      </sheetData>
      <sheetData sheetId="15">
        <row r="4">
          <cell r="E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E6">
            <v>500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E3A6-09E6-460E-8C4D-256F2D123ED8}">
  <dimension ref="A1:P35"/>
  <sheetViews>
    <sheetView tabSelected="1" zoomScale="115" zoomScaleNormal="115" workbookViewId="0">
      <selection activeCell="K5" sqref="K5"/>
    </sheetView>
  </sheetViews>
  <sheetFormatPr defaultRowHeight="14.4" x14ac:dyDescent="0.3"/>
  <cols>
    <col min="1" max="1" width="34" bestFit="1" customWidth="1"/>
    <col min="2" max="2" width="14" customWidth="1"/>
    <col min="4" max="4" width="14.44140625" style="8" customWidth="1"/>
    <col min="5" max="5" width="10.77734375" bestFit="1" customWidth="1"/>
    <col min="6" max="6" width="13.5546875" customWidth="1"/>
    <col min="8" max="8" width="21.88671875" customWidth="1"/>
    <col min="9" max="9" width="8.88671875" customWidth="1"/>
    <col min="10" max="10" width="13.5546875" bestFit="1" customWidth="1"/>
    <col min="11" max="11" width="45.109375" customWidth="1"/>
    <col min="12" max="12" width="26.44140625" customWidth="1"/>
    <col min="13" max="13" width="12.33203125" bestFit="1" customWidth="1"/>
    <col min="16" max="16" width="12.33203125" bestFit="1" customWidth="1"/>
  </cols>
  <sheetData>
    <row r="1" spans="1:13" x14ac:dyDescent="0.3">
      <c r="B1" s="1" t="s">
        <v>0</v>
      </c>
      <c r="C1" s="1"/>
      <c r="D1" s="2" t="s">
        <v>1</v>
      </c>
      <c r="E1" s="1"/>
      <c r="F1" s="1" t="s">
        <v>2</v>
      </c>
      <c r="G1" s="1"/>
      <c r="H1" s="3" t="s">
        <v>3</v>
      </c>
    </row>
    <row r="2" spans="1:13" x14ac:dyDescent="0.3">
      <c r="B2" s="4" t="s">
        <v>4</v>
      </c>
      <c r="D2" s="5" t="s">
        <v>5</v>
      </c>
      <c r="F2" s="6" t="s">
        <v>6</v>
      </c>
      <c r="H2" s="6" t="s">
        <v>7</v>
      </c>
      <c r="J2" s="6" t="s">
        <v>8</v>
      </c>
    </row>
    <row r="3" spans="1:13" x14ac:dyDescent="0.3">
      <c r="A3" s="1" t="s">
        <v>9</v>
      </c>
      <c r="B3" s="7">
        <v>1298000</v>
      </c>
      <c r="D3" s="8">
        <v>1021000</v>
      </c>
      <c r="F3" s="7">
        <v>1652500</v>
      </c>
      <c r="H3" s="7">
        <f>837813+41645.07</f>
        <v>879458.07</v>
      </c>
      <c r="J3" s="8"/>
      <c r="M3" s="8"/>
    </row>
    <row r="4" spans="1:13" ht="15" thickBot="1" x14ac:dyDescent="0.35">
      <c r="A4" s="1" t="s">
        <v>10</v>
      </c>
      <c r="B4" s="9">
        <f>1248000+50000</f>
        <v>1298000</v>
      </c>
      <c r="D4" s="10">
        <v>1021000</v>
      </c>
      <c r="F4" s="9">
        <v>1652500</v>
      </c>
      <c r="H4" s="9">
        <v>837813</v>
      </c>
      <c r="J4" s="8"/>
      <c r="M4" s="8"/>
    </row>
    <row r="5" spans="1:13" x14ac:dyDescent="0.3">
      <c r="A5" s="1" t="s">
        <v>11</v>
      </c>
      <c r="B5" s="7">
        <f>B3-B4</f>
        <v>0</v>
      </c>
      <c r="D5" s="8">
        <f>D3-D4</f>
        <v>0</v>
      </c>
      <c r="F5" s="7">
        <f>F3-F4</f>
        <v>0</v>
      </c>
      <c r="H5" s="7">
        <f>H3-H4</f>
        <v>41645.069999999949</v>
      </c>
      <c r="J5" s="8"/>
      <c r="M5" s="11"/>
    </row>
    <row r="6" spans="1:13" x14ac:dyDescent="0.3">
      <c r="A6" s="1" t="s">
        <v>12</v>
      </c>
      <c r="B6" s="7">
        <v>0</v>
      </c>
      <c r="D6" s="8">
        <v>0</v>
      </c>
      <c r="F6" s="12">
        <v>0</v>
      </c>
      <c r="J6" s="8"/>
    </row>
    <row r="7" spans="1:13" x14ac:dyDescent="0.3">
      <c r="A7" s="1" t="s">
        <v>13</v>
      </c>
      <c r="B7" s="7">
        <f>'[1]Fortbend 2025'!AJ52</f>
        <v>334290.09000000008</v>
      </c>
      <c r="D7" s="8">
        <f>'[1]CARES ACT-2 - 2025'!AH28</f>
        <v>263662.51</v>
      </c>
      <c r="F7" s="12">
        <f>'[1]Cares Act - 2025'!AZ26</f>
        <v>1343711.58</v>
      </c>
      <c r="H7" s="13">
        <f>SUM('[1]Regular RLF -2025'!E18:E26)</f>
        <v>454659.74900000013</v>
      </c>
      <c r="J7" s="8"/>
    </row>
    <row r="8" spans="1:13" x14ac:dyDescent="0.3">
      <c r="A8" s="1" t="s">
        <v>14</v>
      </c>
      <c r="B8" s="7">
        <v>0</v>
      </c>
      <c r="D8" s="8">
        <v>0</v>
      </c>
      <c r="F8" s="12">
        <v>29586.1</v>
      </c>
      <c r="H8" s="13">
        <v>75165.67</v>
      </c>
      <c r="J8" s="8"/>
    </row>
    <row r="9" spans="1:13" x14ac:dyDescent="0.3">
      <c r="A9" s="1" t="s">
        <v>15</v>
      </c>
      <c r="B9" s="14"/>
      <c r="D9" s="15">
        <f>191500</f>
        <v>191500</v>
      </c>
      <c r="F9" s="12">
        <f>850000+250000-50000+250000</f>
        <v>1300000</v>
      </c>
      <c r="H9" s="16">
        <v>325000</v>
      </c>
      <c r="J9" s="8"/>
      <c r="L9" s="11"/>
    </row>
    <row r="10" spans="1:13" ht="15" thickBot="1" x14ac:dyDescent="0.35">
      <c r="A10" s="1" t="s">
        <v>16</v>
      </c>
      <c r="B10" s="9"/>
      <c r="D10" s="10"/>
      <c r="F10" s="17">
        <v>0</v>
      </c>
      <c r="H10" s="18"/>
      <c r="J10" s="8"/>
      <c r="L10" s="11"/>
    </row>
    <row r="11" spans="1:13" x14ac:dyDescent="0.3">
      <c r="A11" s="19" t="s">
        <v>17</v>
      </c>
      <c r="B11" s="7">
        <f>B5+B7-B9</f>
        <v>334290.09000000008</v>
      </c>
      <c r="D11" s="8">
        <f>D5+D7-D9-D10</f>
        <v>72162.510000000009</v>
      </c>
      <c r="F11" s="7">
        <f>F5+F7-F9-F10</f>
        <v>43711.580000000075</v>
      </c>
      <c r="H11" s="20">
        <f>H5+H7-H9</f>
        <v>171304.81900000008</v>
      </c>
      <c r="J11" s="21">
        <f>B11+D11+F11</f>
        <v>450164.18000000017</v>
      </c>
      <c r="K11" s="11"/>
      <c r="L11" s="11"/>
    </row>
    <row r="12" spans="1:13" x14ac:dyDescent="0.3">
      <c r="A12" s="1"/>
      <c r="B12" s="7"/>
      <c r="F12" s="12"/>
      <c r="J12" s="8"/>
    </row>
    <row r="13" spans="1:13" x14ac:dyDescent="0.3">
      <c r="A13" s="22" t="s">
        <v>18</v>
      </c>
      <c r="B13" s="7">
        <f>B4-B7+B9</f>
        <v>963709.90999999992</v>
      </c>
      <c r="D13" s="8">
        <f>D3-D7+D9</f>
        <v>948837.49</v>
      </c>
      <c r="F13" s="12">
        <f>F4-F7+F9-F8</f>
        <v>1579202.3199999998</v>
      </c>
      <c r="H13" s="12">
        <f>H4-H7+H9-H8</f>
        <v>632987.58099999989</v>
      </c>
      <c r="J13" s="8">
        <f>B13+D13+F13+H13</f>
        <v>4124737.3009999995</v>
      </c>
      <c r="K13" s="11"/>
      <c r="L13" s="12"/>
    </row>
    <row r="14" spans="1:13" x14ac:dyDescent="0.3">
      <c r="A14" s="1"/>
      <c r="B14" s="7"/>
      <c r="F14" s="12"/>
      <c r="J14" s="8"/>
    </row>
    <row r="15" spans="1:13" hidden="1" x14ac:dyDescent="0.3">
      <c r="A15" s="1"/>
      <c r="B15" s="7"/>
      <c r="F15" s="12"/>
      <c r="J15" s="8"/>
    </row>
    <row r="16" spans="1:13" hidden="1" x14ac:dyDescent="0.3">
      <c r="A16" s="1" t="s">
        <v>19</v>
      </c>
      <c r="B16" s="7">
        <v>182000</v>
      </c>
      <c r="D16" s="8">
        <v>100000</v>
      </c>
      <c r="F16" s="12">
        <f>1793000-F3</f>
        <v>140500</v>
      </c>
      <c r="J16" s="8"/>
    </row>
    <row r="17" spans="1:16" ht="15" hidden="1" thickBot="1" x14ac:dyDescent="0.35">
      <c r="A17" s="1" t="s">
        <v>20</v>
      </c>
      <c r="B17" s="9">
        <v>216037.72</v>
      </c>
      <c r="D17" s="10">
        <f>172646.14-16778</f>
        <v>155868.14000000001</v>
      </c>
      <c r="F17" s="17">
        <f>140500+93513.38+16775</f>
        <v>250788.38</v>
      </c>
      <c r="H17" s="23"/>
      <c r="J17" s="8"/>
    </row>
    <row r="18" spans="1:16" hidden="1" x14ac:dyDescent="0.3">
      <c r="A18" s="1" t="s">
        <v>21</v>
      </c>
      <c r="B18" s="7">
        <f>B16-B17</f>
        <v>-34037.72</v>
      </c>
      <c r="D18" s="8">
        <f>D16-D17</f>
        <v>-55868.140000000014</v>
      </c>
      <c r="F18" s="7">
        <f>F16-F17</f>
        <v>-110288.38</v>
      </c>
      <c r="H18" s="7"/>
      <c r="J18" s="8"/>
    </row>
    <row r="19" spans="1:16" hidden="1" x14ac:dyDescent="0.3">
      <c r="A19" s="1" t="s">
        <v>22</v>
      </c>
      <c r="B19" s="7">
        <v>27226.880000000001</v>
      </c>
      <c r="D19" s="8">
        <f>'[1]CARES ACT-2 - 2024'!AH39</f>
        <v>40888.87000000001</v>
      </c>
      <c r="F19" s="12">
        <f>'[1]Cares Act - 2024'!AW20</f>
        <v>95245.239999999991</v>
      </c>
      <c r="J19" s="8"/>
    </row>
    <row r="20" spans="1:16" hidden="1" x14ac:dyDescent="0.3">
      <c r="A20" s="1" t="s">
        <v>23</v>
      </c>
      <c r="B20" s="7">
        <v>6637.18</v>
      </c>
      <c r="D20" s="8">
        <v>836.27</v>
      </c>
      <c r="F20" s="12">
        <f>'[1]Cares Act - 2024'!AX43</f>
        <v>14954.35</v>
      </c>
      <c r="J20" s="8"/>
    </row>
    <row r="21" spans="1:16" ht="15" hidden="1" thickBot="1" x14ac:dyDescent="0.35">
      <c r="A21" s="1" t="s">
        <v>24</v>
      </c>
      <c r="B21" s="9">
        <v>172.28</v>
      </c>
      <c r="D21" s="10">
        <v>0</v>
      </c>
      <c r="F21" s="17">
        <f>'[1]Cares Act - 2024'!AX44</f>
        <v>88.92</v>
      </c>
      <c r="H21" s="23"/>
      <c r="J21" s="8"/>
    </row>
    <row r="22" spans="1:16" hidden="1" x14ac:dyDescent="0.3">
      <c r="A22" s="19" t="s">
        <v>25</v>
      </c>
      <c r="B22" s="7">
        <f>B18+B19+B20+B21</f>
        <v>-1.3799999999998533</v>
      </c>
      <c r="D22" s="8">
        <f>D18+D19+D21+D20</f>
        <v>-14143.000000000004</v>
      </c>
      <c r="F22" s="7">
        <f>F18+F19+F20+F21</f>
        <v>0.12999999998639566</v>
      </c>
      <c r="H22" s="7">
        <v>0</v>
      </c>
      <c r="J22" s="21">
        <f>B22+D22+F22</f>
        <v>-14144.250000000016</v>
      </c>
    </row>
    <row r="23" spans="1:16" hidden="1" x14ac:dyDescent="0.3">
      <c r="B23" s="7"/>
      <c r="J23" s="8" t="s">
        <v>26</v>
      </c>
    </row>
    <row r="24" spans="1:16" x14ac:dyDescent="0.3">
      <c r="B24" s="24"/>
      <c r="P24">
        <f>97971.98</f>
        <v>97971.98</v>
      </c>
    </row>
    <row r="25" spans="1:16" x14ac:dyDescent="0.3">
      <c r="A25" s="1" t="s">
        <v>27</v>
      </c>
      <c r="B25" s="8">
        <v>13014.76</v>
      </c>
      <c r="D25" s="8">
        <f>5916.71+5000</f>
        <v>10916.71</v>
      </c>
      <c r="F25" s="11">
        <f>9922.08+14000</f>
        <v>23922.080000000002</v>
      </c>
      <c r="H25">
        <f>19212.58+6200.41</f>
        <v>25412.99</v>
      </c>
      <c r="K25" s="24"/>
      <c r="L25" s="24"/>
      <c r="M25" s="25"/>
      <c r="P25" s="26">
        <f>P24-M26</f>
        <v>97971.98</v>
      </c>
    </row>
    <row r="26" spans="1:16" ht="15" thickBot="1" x14ac:dyDescent="0.35">
      <c r="A26" s="1" t="s">
        <v>22</v>
      </c>
      <c r="B26" s="27">
        <f>SUM('[1]Fortbend 2025'!AK40:AK51)</f>
        <v>10600.97</v>
      </c>
      <c r="D26" s="10">
        <f>SUM('[1]CARES ACT-2 - 2025'!AI16:AI27)</f>
        <v>10781.2</v>
      </c>
      <c r="F26" s="27">
        <f>SUM('[1]Cares Act - 2025'!AY8:AY19)</f>
        <v>23200.39</v>
      </c>
      <c r="H26" s="23">
        <f>9901+1854.03</f>
        <v>11755.03</v>
      </c>
      <c r="K26" s="28"/>
      <c r="L26" s="24"/>
      <c r="M26" s="25"/>
    </row>
    <row r="27" spans="1:16" x14ac:dyDescent="0.3">
      <c r="A27" s="1" t="s">
        <v>23</v>
      </c>
      <c r="B27" s="8">
        <v>1929.23</v>
      </c>
      <c r="C27" s="8"/>
      <c r="D27" s="8">
        <f>120+546.92</f>
        <v>666.92</v>
      </c>
      <c r="E27" s="8"/>
      <c r="F27" s="8">
        <f>880.75+331.29</f>
        <v>1212.04</v>
      </c>
      <c r="H27">
        <f>756.5+1298.31</f>
        <v>2054.81</v>
      </c>
      <c r="K27" s="24"/>
      <c r="L27" s="24"/>
      <c r="M27" s="25"/>
    </row>
    <row r="28" spans="1:16" ht="15" thickBot="1" x14ac:dyDescent="0.35">
      <c r="A28" s="1" t="s">
        <v>24</v>
      </c>
      <c r="B28" s="10">
        <f>'[1]Fortbend 2025'!AI32</f>
        <v>844.84</v>
      </c>
      <c r="C28" s="8"/>
      <c r="D28" s="10">
        <v>0</v>
      </c>
      <c r="E28" s="8"/>
      <c r="F28" s="10">
        <v>0</v>
      </c>
      <c r="H28" s="23">
        <v>0</v>
      </c>
      <c r="L28" s="29"/>
      <c r="M28" s="25"/>
    </row>
    <row r="29" spans="1:16" x14ac:dyDescent="0.3">
      <c r="A29" s="19" t="s">
        <v>25</v>
      </c>
      <c r="B29" s="26">
        <f>B26-B25+B27+B28</f>
        <v>360.27999999999918</v>
      </c>
      <c r="D29" s="26">
        <f>D26-D25+D27+D28</f>
        <v>531.41000000000156</v>
      </c>
      <c r="F29" s="26">
        <f>F26-F25+F27+F28</f>
        <v>490.34999999999764</v>
      </c>
      <c r="H29" s="26">
        <f>H26-H25+H27+H28</f>
        <v>-11603.150000000001</v>
      </c>
      <c r="J29" s="30">
        <f>B29+D29+F29+H29</f>
        <v>-10221.110000000002</v>
      </c>
      <c r="L29" s="24"/>
    </row>
    <row r="33" spans="5:8" x14ac:dyDescent="0.3">
      <c r="G33" s="31"/>
      <c r="H33" t="s">
        <v>28</v>
      </c>
    </row>
    <row r="35" spans="5:8" hidden="1" x14ac:dyDescent="0.3">
      <c r="E35" s="11">
        <f>38215.17-B25-5000-14000</f>
        <v>6200.4099999999962</v>
      </c>
    </row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Nayak, Arathi</dc:creator>
  <cp:lastModifiedBy>Nayak, Arathi</cp:lastModifiedBy>
  <dcterms:created xsi:type="dcterms:W3CDTF">2025-07-10T16:50:08Z</dcterms:created>
  <dcterms:modified xsi:type="dcterms:W3CDTF">2025-07-10T16:50:57Z</dcterms:modified>
</cp:coreProperties>
</file>