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ttps://hgac-my.sharepoint.com/personal/nayak_h-gac_com/Documents/"/>
    </mc:Choice>
  </mc:AlternateContent>
  <xr:revisionPtr revIDLastSave="178" documentId="8_{12ADF6B9-A10B-4D8D-A271-82AC05632D2D}" xr6:coauthVersionLast="46" xr6:coauthVersionMax="46" xr10:uidLastSave="{5260060A-BAA7-4637-B1FA-786079BFE76E}"/>
  <bookViews>
    <workbookView xWindow="28680" yWindow="-120" windowWidth="29040" windowHeight="15840" firstSheet="1" activeTab="3" xr2:uid="{00000000-000D-0000-FFFF-FFFF00000000}"/>
  </bookViews>
  <sheets>
    <sheet name="Cares Act - 2021" sheetId="1" state="hidden" r:id="rId1"/>
    <sheet name="Cares Act - 2022" sheetId="7" r:id="rId2"/>
    <sheet name="Avdesh Calculation" sheetId="14" state="hidden" r:id="rId3"/>
    <sheet name="Regular RLF 051122" sheetId="10" r:id="rId4"/>
    <sheet name="Interest 22" sheetId="12" state="hidden" r:id="rId5"/>
    <sheet name="ESRI_MAPINFO_SHEET" sheetId="13" state="veryHidden" r:id="rId6"/>
  </sheets>
  <externalReferences>
    <externalReference r:id="rId7"/>
    <externalReference r:id="rId8"/>
  </externalReferences>
  <definedNames>
    <definedName name="_xlnm._FilterDatabase" localSheetId="0" hidden="1">'Cares Act - 2021'!$A$1:$U$50</definedName>
    <definedName name="_xlnm._FilterDatabase" localSheetId="1" hidden="1">'Cares Act - 2022'!$A$1:$X$50</definedName>
    <definedName name="InterestRate">'Interest 22'!$E$4</definedName>
    <definedName name="PaymentsPerYear">'Interest 22'!$E$6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0" l="1"/>
  <c r="S67" i="7" l="1"/>
  <c r="B91" i="10"/>
  <c r="D13" i="10" l="1"/>
  <c r="D18" i="10"/>
  <c r="D20" i="10"/>
  <c r="D24" i="10" l="1"/>
  <c r="S65" i="7"/>
  <c r="B4" i="14"/>
  <c r="B7" i="14" s="1"/>
  <c r="S61" i="7"/>
  <c r="W47" i="7"/>
  <c r="X50" i="7"/>
  <c r="W31" i="7"/>
  <c r="W36" i="7"/>
  <c r="W40" i="7"/>
  <c r="X2" i="7"/>
  <c r="S59" i="7"/>
  <c r="A73" i="7" l="1"/>
  <c r="W39" i="7"/>
  <c r="C70" i="7"/>
  <c r="B70" i="7"/>
  <c r="A69" i="7"/>
  <c r="A70" i="7" s="1"/>
  <c r="Z10" i="7"/>
  <c r="S10" i="7"/>
  <c r="S50" i="7"/>
  <c r="T50" i="7"/>
  <c r="R50" i="7"/>
  <c r="U50" i="7"/>
  <c r="V50" i="7"/>
  <c r="U36" i="7"/>
  <c r="Z36" i="7" s="1"/>
  <c r="S36" i="7"/>
  <c r="Q36" i="7"/>
  <c r="Z42" i="7"/>
  <c r="Z41" i="7"/>
  <c r="Z40" i="7"/>
  <c r="Z39" i="7"/>
  <c r="Z38" i="7"/>
  <c r="Z37" i="7"/>
  <c r="Z35" i="7"/>
  <c r="Z34" i="7"/>
  <c r="Z33" i="7"/>
  <c r="Z32" i="7"/>
  <c r="Z30" i="7"/>
  <c r="Z29" i="7"/>
  <c r="Z28" i="7"/>
  <c r="Z27" i="7"/>
  <c r="Z26" i="7"/>
  <c r="Z25" i="7"/>
  <c r="Z24" i="7"/>
  <c r="Z23" i="7"/>
  <c r="Z22" i="7"/>
  <c r="U21" i="7"/>
  <c r="S21" i="7"/>
  <c r="Q21" i="7"/>
  <c r="Z20" i="7"/>
  <c r="Z19" i="7"/>
  <c r="Z18" i="7"/>
  <c r="U18" i="7"/>
  <c r="S18" i="7"/>
  <c r="Q18" i="7"/>
  <c r="Z17" i="7"/>
  <c r="U12" i="7"/>
  <c r="S12" i="7"/>
  <c r="Q12" i="7"/>
  <c r="Z9" i="7"/>
  <c r="Z11" i="7"/>
  <c r="Z13" i="7"/>
  <c r="Z14" i="7"/>
  <c r="Z15" i="7"/>
  <c r="Z16" i="7"/>
  <c r="Z8" i="7"/>
  <c r="Z3" i="7"/>
  <c r="Z4" i="7"/>
  <c r="Z5" i="7"/>
  <c r="Z6" i="7"/>
  <c r="U3" i="7"/>
  <c r="S3" i="7"/>
  <c r="Q3" i="7"/>
  <c r="Z2" i="7"/>
  <c r="U39" i="7"/>
  <c r="S39" i="7"/>
  <c r="Z21" i="7" l="1"/>
  <c r="Z12" i="7"/>
  <c r="U31" i="7"/>
  <c r="Q39" i="7" l="1"/>
  <c r="R39" i="7"/>
  <c r="Q50" i="7"/>
  <c r="C25" i="10" l="1"/>
  <c r="D19" i="10" l="1"/>
  <c r="E19" i="10"/>
  <c r="D21" i="10" l="1"/>
  <c r="D22" i="10"/>
  <c r="D23" i="10"/>
  <c r="W3" i="7"/>
  <c r="W4" i="7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2" i="7"/>
  <c r="W33" i="7"/>
  <c r="W34" i="7"/>
  <c r="W35" i="7"/>
  <c r="W37" i="7"/>
  <c r="W38" i="7"/>
  <c r="W41" i="7"/>
  <c r="W42" i="7"/>
  <c r="W43" i="7"/>
  <c r="W44" i="7"/>
  <c r="W45" i="7"/>
  <c r="W46" i="7"/>
  <c r="W50" i="7"/>
  <c r="W2" i="7"/>
  <c r="Z44" i="7"/>
  <c r="Z45" i="7"/>
  <c r="Z46" i="7"/>
  <c r="Z43" i="7"/>
  <c r="Z7" i="7"/>
  <c r="Z50" i="7" l="1"/>
  <c r="X47" i="7" l="1"/>
  <c r="Y47" i="7"/>
  <c r="A68" i="7" l="1"/>
  <c r="Y48" i="7"/>
  <c r="W48" i="7"/>
  <c r="X48" i="7" s="1"/>
  <c r="P50" i="7"/>
  <c r="I50" i="7"/>
  <c r="E50" i="7"/>
  <c r="A64" i="7"/>
  <c r="A67" i="7" l="1"/>
  <c r="Y38" i="7"/>
  <c r="O41" i="1" l="1"/>
  <c r="L13" i="12" l="1"/>
  <c r="L12" i="12"/>
  <c r="L11" i="12"/>
  <c r="L10" i="12"/>
  <c r="L9" i="12"/>
  <c r="L8" i="12"/>
  <c r="L7" i="12"/>
  <c r="L6" i="12"/>
  <c r="L5" i="12"/>
  <c r="L4" i="12"/>
  <c r="L3" i="12"/>
  <c r="L2" i="12"/>
  <c r="B119" i="10"/>
  <c r="B120" i="10" s="1"/>
  <c r="B118" i="10"/>
  <c r="B114" i="10"/>
  <c r="B90" i="10"/>
  <c r="B89" i="10"/>
  <c r="B85" i="10"/>
  <c r="B84" i="10"/>
  <c r="B83" i="10"/>
  <c r="B82" i="10"/>
  <c r="B81" i="10"/>
  <c r="B80" i="10"/>
  <c r="B72" i="10"/>
  <c r="B64" i="10"/>
  <c r="B60" i="10"/>
  <c r="B58" i="10"/>
  <c r="E53" i="10"/>
  <c r="B53" i="10"/>
  <c r="E52" i="10"/>
  <c r="B52" i="10"/>
  <c r="E51" i="10"/>
  <c r="B51" i="10"/>
  <c r="E50" i="10"/>
  <c r="B50" i="10"/>
  <c r="E49" i="10"/>
  <c r="B49" i="10"/>
  <c r="E48" i="10"/>
  <c r="B48" i="10"/>
  <c r="E47" i="10"/>
  <c r="B47" i="10"/>
  <c r="E46" i="10"/>
  <c r="B46" i="10"/>
  <c r="E45" i="10"/>
  <c r="B45" i="10"/>
  <c r="E44" i="10"/>
  <c r="B44" i="10"/>
  <c r="E43" i="10"/>
  <c r="B43" i="10"/>
  <c r="E42" i="10"/>
  <c r="E54" i="10" s="1"/>
  <c r="B88" i="10" s="1"/>
  <c r="B42" i="10"/>
  <c r="B54" i="10" s="1"/>
  <c r="E41" i="10"/>
  <c r="B41" i="10"/>
  <c r="E40" i="10"/>
  <c r="B40" i="10"/>
  <c r="E39" i="10"/>
  <c r="B39" i="10"/>
  <c r="E38" i="10"/>
  <c r="B38" i="10"/>
  <c r="E37" i="10"/>
  <c r="B37" i="10"/>
  <c r="E36" i="10"/>
  <c r="B36" i="10"/>
  <c r="E35" i="10"/>
  <c r="B35" i="10"/>
  <c r="B34" i="10"/>
  <c r="B33" i="10"/>
  <c r="B32" i="10"/>
  <c r="B28" i="10"/>
  <c r="E24" i="10"/>
  <c r="E23" i="10"/>
  <c r="C23" i="10"/>
  <c r="E22" i="10"/>
  <c r="C22" i="10"/>
  <c r="E21" i="10"/>
  <c r="C21" i="10"/>
  <c r="E20" i="10"/>
  <c r="E18" i="10"/>
  <c r="D17" i="10"/>
  <c r="E17" i="10" s="1"/>
  <c r="D16" i="10"/>
  <c r="C16" i="10"/>
  <c r="D14" i="10"/>
  <c r="E14" i="10" s="1"/>
  <c r="E13" i="10"/>
  <c r="D12" i="10"/>
  <c r="E12" i="10" s="1"/>
  <c r="D11" i="10"/>
  <c r="E11" i="10" s="1"/>
  <c r="E9" i="10"/>
  <c r="E8" i="10"/>
  <c r="E6" i="10"/>
  <c r="D5" i="10"/>
  <c r="D25" i="10" s="1"/>
  <c r="B67" i="10" s="1"/>
  <c r="B92" i="10" s="1"/>
  <c r="D4" i="10"/>
  <c r="E4" i="10" s="1"/>
  <c r="A66" i="7"/>
  <c r="A65" i="7"/>
  <c r="A63" i="7"/>
  <c r="A62" i="7"/>
  <c r="A61" i="7"/>
  <c r="B60" i="7"/>
  <c r="C59" i="7"/>
  <c r="C58" i="7"/>
  <c r="C57" i="7"/>
  <c r="C56" i="7"/>
  <c r="C55" i="7"/>
  <c r="C54" i="7"/>
  <c r="N50" i="7"/>
  <c r="L50" i="7"/>
  <c r="J49" i="7"/>
  <c r="J47" i="7"/>
  <c r="Y46" i="7"/>
  <c r="X46" i="7"/>
  <c r="J46" i="7"/>
  <c r="Y45" i="7"/>
  <c r="X45" i="7"/>
  <c r="J45" i="7"/>
  <c r="Y44" i="7"/>
  <c r="X44" i="7"/>
  <c r="J44" i="7"/>
  <c r="Y43" i="7"/>
  <c r="X43" i="7"/>
  <c r="J43" i="7"/>
  <c r="M42" i="7"/>
  <c r="J42" i="7"/>
  <c r="Y41" i="7"/>
  <c r="X41" i="7"/>
  <c r="J41" i="7"/>
  <c r="Y40" i="7"/>
  <c r="X40" i="7"/>
  <c r="J40" i="7"/>
  <c r="X39" i="7"/>
  <c r="J39" i="7"/>
  <c r="X38" i="7"/>
  <c r="J38" i="7"/>
  <c r="Y37" i="7"/>
  <c r="X37" i="7"/>
  <c r="J37" i="7"/>
  <c r="Y36" i="7"/>
  <c r="X36" i="7"/>
  <c r="J36" i="7"/>
  <c r="Y35" i="7"/>
  <c r="X35" i="7"/>
  <c r="J35" i="7"/>
  <c r="O34" i="7"/>
  <c r="J34" i="7"/>
  <c r="Y33" i="7"/>
  <c r="X33" i="7"/>
  <c r="J33" i="7"/>
  <c r="Y32" i="7"/>
  <c r="X32" i="7"/>
  <c r="J32" i="7"/>
  <c r="X31" i="7"/>
  <c r="J31" i="7"/>
  <c r="Y30" i="7"/>
  <c r="X30" i="7"/>
  <c r="J30" i="7"/>
  <c r="Y29" i="7"/>
  <c r="X29" i="7"/>
  <c r="J29" i="7"/>
  <c r="Y28" i="7"/>
  <c r="X28" i="7"/>
  <c r="J28" i="7"/>
  <c r="Y27" i="7"/>
  <c r="X27" i="7"/>
  <c r="J27" i="7"/>
  <c r="Y26" i="7"/>
  <c r="X26" i="7"/>
  <c r="J26" i="7"/>
  <c r="Y25" i="7"/>
  <c r="X25" i="7"/>
  <c r="J25" i="7"/>
  <c r="Y24" i="7"/>
  <c r="X24" i="7"/>
  <c r="J24" i="7"/>
  <c r="Y23" i="7"/>
  <c r="X23" i="7"/>
  <c r="J23" i="7"/>
  <c r="Y22" i="7"/>
  <c r="X22" i="7"/>
  <c r="J22" i="7"/>
  <c r="Y21" i="7"/>
  <c r="X21" i="7"/>
  <c r="J21" i="7"/>
  <c r="Y20" i="7"/>
  <c r="X20" i="7"/>
  <c r="J20" i="7"/>
  <c r="Y19" i="7"/>
  <c r="X19" i="7"/>
  <c r="J19" i="7"/>
  <c r="K18" i="7"/>
  <c r="J18" i="7"/>
  <c r="Y17" i="7"/>
  <c r="X17" i="7"/>
  <c r="J17" i="7"/>
  <c r="Y16" i="7"/>
  <c r="X16" i="7"/>
  <c r="J16" i="7"/>
  <c r="Y15" i="7"/>
  <c r="X15" i="7"/>
  <c r="J15" i="7"/>
  <c r="Y14" i="7"/>
  <c r="X14" i="7"/>
  <c r="J14" i="7"/>
  <c r="Y13" i="7"/>
  <c r="X13" i="7"/>
  <c r="J13" i="7"/>
  <c r="Y12" i="7"/>
  <c r="X12" i="7"/>
  <c r="J12" i="7"/>
  <c r="Y11" i="7"/>
  <c r="X11" i="7"/>
  <c r="J11" i="7"/>
  <c r="Y10" i="7"/>
  <c r="X10" i="7"/>
  <c r="J10" i="7"/>
  <c r="Y9" i="7"/>
  <c r="X9" i="7"/>
  <c r="J9" i="7"/>
  <c r="Y8" i="7"/>
  <c r="X8" i="7"/>
  <c r="J8" i="7"/>
  <c r="Y7" i="7"/>
  <c r="X7" i="7"/>
  <c r="J7" i="7"/>
  <c r="Y6" i="7"/>
  <c r="X6" i="7"/>
  <c r="J6" i="7"/>
  <c r="Y5" i="7"/>
  <c r="X5" i="7"/>
  <c r="J5" i="7"/>
  <c r="Y4" i="7"/>
  <c r="X4" i="7"/>
  <c r="J4" i="7"/>
  <c r="Y3" i="7"/>
  <c r="J3" i="7"/>
  <c r="Y2" i="7"/>
  <c r="J2" i="7"/>
  <c r="C70" i="1"/>
  <c r="L59" i="1"/>
  <c r="K59" i="1"/>
  <c r="L58" i="1"/>
  <c r="L57" i="1"/>
  <c r="L56" i="1"/>
  <c r="L55" i="1"/>
  <c r="L54" i="1"/>
  <c r="L53" i="1"/>
  <c r="L49" i="1"/>
  <c r="K49" i="1"/>
  <c r="I49" i="1"/>
  <c r="E49" i="1"/>
  <c r="P48" i="1"/>
  <c r="O48" i="1"/>
  <c r="P47" i="1"/>
  <c r="O47" i="1"/>
  <c r="P46" i="1"/>
  <c r="O46" i="1"/>
  <c r="R45" i="1"/>
  <c r="Q45" i="1" s="1"/>
  <c r="P45" i="1"/>
  <c r="O45" i="1"/>
  <c r="R44" i="1"/>
  <c r="Q44" i="1" s="1"/>
  <c r="P44" i="1"/>
  <c r="O44" i="1"/>
  <c r="R43" i="1"/>
  <c r="Q43" i="1" s="1"/>
  <c r="P43" i="1"/>
  <c r="O43" i="1"/>
  <c r="J42" i="1"/>
  <c r="R42" i="1" s="1"/>
  <c r="Q42" i="1" s="1"/>
  <c r="R41" i="1"/>
  <c r="Q41" i="1" s="1"/>
  <c r="P41" i="1"/>
  <c r="N41" i="1"/>
  <c r="R40" i="1"/>
  <c r="Q40" i="1" s="1"/>
  <c r="P40" i="1"/>
  <c r="O40" i="1"/>
  <c r="R39" i="1"/>
  <c r="Q39" i="1" s="1"/>
  <c r="P39" i="1"/>
  <c r="O39" i="1"/>
  <c r="R38" i="1"/>
  <c r="Q38" i="1" s="1"/>
  <c r="P38" i="1"/>
  <c r="O38" i="1"/>
  <c r="R37" i="1"/>
  <c r="Q37" i="1" s="1"/>
  <c r="P37" i="1"/>
  <c r="O37" i="1"/>
  <c r="R36" i="1"/>
  <c r="Q36" i="1" s="1"/>
  <c r="P36" i="1"/>
  <c r="O36" i="1"/>
  <c r="J35" i="1"/>
  <c r="R35" i="1" s="1"/>
  <c r="Q35" i="1" s="1"/>
  <c r="N34" i="1"/>
  <c r="N49" i="1" s="1"/>
  <c r="J34" i="1"/>
  <c r="P34" i="1" s="1"/>
  <c r="J33" i="1"/>
  <c r="R33" i="1" s="1"/>
  <c r="Q33" i="1" s="1"/>
  <c r="R32" i="1"/>
  <c r="Q32" i="1"/>
  <c r="P32" i="1"/>
  <c r="O32" i="1"/>
  <c r="J31" i="1"/>
  <c r="R31" i="1" s="1"/>
  <c r="Q31" i="1" s="1"/>
  <c r="J30" i="1"/>
  <c r="R30" i="1" s="1"/>
  <c r="Q30" i="1" s="1"/>
  <c r="J29" i="1"/>
  <c r="P29" i="1" s="1"/>
  <c r="J28" i="1"/>
  <c r="R28" i="1" s="1"/>
  <c r="Q28" i="1" s="1"/>
  <c r="J27" i="1"/>
  <c r="R27" i="1" s="1"/>
  <c r="Q27" i="1" s="1"/>
  <c r="J26" i="1"/>
  <c r="P26" i="1" s="1"/>
  <c r="J25" i="1"/>
  <c r="R25" i="1" s="1"/>
  <c r="Q25" i="1" s="1"/>
  <c r="J24" i="1"/>
  <c r="R24" i="1" s="1"/>
  <c r="Q24" i="1" s="1"/>
  <c r="R23" i="1"/>
  <c r="Q23" i="1" s="1"/>
  <c r="P23" i="1"/>
  <c r="O23" i="1"/>
  <c r="J23" i="1"/>
  <c r="J22" i="1"/>
  <c r="P22" i="1" s="1"/>
  <c r="J21" i="1"/>
  <c r="R21" i="1" s="1"/>
  <c r="Q21" i="1" s="1"/>
  <c r="J20" i="1"/>
  <c r="R20" i="1" s="1"/>
  <c r="Q20" i="1" s="1"/>
  <c r="Q19" i="1"/>
  <c r="P19" i="1"/>
  <c r="O19" i="1"/>
  <c r="R18" i="1"/>
  <c r="Q18" i="1" s="1"/>
  <c r="P18" i="1"/>
  <c r="O18" i="1"/>
  <c r="M17" i="1"/>
  <c r="J17" i="1"/>
  <c r="O17" i="1" s="1"/>
  <c r="J16" i="1"/>
  <c r="P16" i="1" s="1"/>
  <c r="J15" i="1"/>
  <c r="R15" i="1" s="1"/>
  <c r="Q15" i="1" s="1"/>
  <c r="J14" i="1"/>
  <c r="P14" i="1" s="1"/>
  <c r="J13" i="1"/>
  <c r="R13" i="1" s="1"/>
  <c r="Q13" i="1" s="1"/>
  <c r="R12" i="1"/>
  <c r="Q12" i="1" s="1"/>
  <c r="P12" i="1"/>
  <c r="O12" i="1"/>
  <c r="R11" i="1"/>
  <c r="Q11" i="1" s="1"/>
  <c r="P11" i="1"/>
  <c r="O11" i="1"/>
  <c r="R10" i="1"/>
  <c r="Q10" i="1" s="1"/>
  <c r="P10" i="1"/>
  <c r="O10" i="1"/>
  <c r="J9" i="1"/>
  <c r="P9" i="1" s="1"/>
  <c r="R8" i="1"/>
  <c r="Q8" i="1" s="1"/>
  <c r="P8" i="1"/>
  <c r="O8" i="1"/>
  <c r="R7" i="1"/>
  <c r="Q7" i="1" s="1"/>
  <c r="P7" i="1"/>
  <c r="O7" i="1"/>
  <c r="M7" i="1"/>
  <c r="R6" i="1"/>
  <c r="P6" i="1"/>
  <c r="O6" i="1"/>
  <c r="R5" i="1"/>
  <c r="Q5" i="1" s="1"/>
  <c r="P5" i="1"/>
  <c r="O5" i="1"/>
  <c r="M5" i="1"/>
  <c r="M49" i="1" s="1"/>
  <c r="J4" i="1"/>
  <c r="R4" i="1" s="1"/>
  <c r="Q4" i="1" s="1"/>
  <c r="J3" i="1"/>
  <c r="P3" i="1" s="1"/>
  <c r="J2" i="1"/>
  <c r="R2" i="1" s="1"/>
  <c r="Q2" i="1" s="1"/>
  <c r="L14" i="12" l="1"/>
  <c r="Y42" i="7"/>
  <c r="X42" i="7"/>
  <c r="Y34" i="7"/>
  <c r="X34" i="7"/>
  <c r="Y18" i="7"/>
  <c r="P17" i="1"/>
  <c r="O20" i="1"/>
  <c r="O50" i="7"/>
  <c r="O31" i="1"/>
  <c r="O33" i="1"/>
  <c r="O4" i="1"/>
  <c r="O2" i="1"/>
  <c r="P4" i="1"/>
  <c r="P13" i="1"/>
  <c r="P20" i="1"/>
  <c r="P31" i="1"/>
  <c r="O28" i="1"/>
  <c r="J49" i="1"/>
  <c r="P49" i="1" s="1"/>
  <c r="O21" i="1"/>
  <c r="R29" i="1"/>
  <c r="Q29" i="1" s="1"/>
  <c r="O9" i="1"/>
  <c r="O16" i="1"/>
  <c r="O3" i="1"/>
  <c r="R9" i="1"/>
  <c r="Q9" i="1" s="1"/>
  <c r="P21" i="1"/>
  <c r="R3" i="1"/>
  <c r="Q3" i="1" s="1"/>
  <c r="R16" i="1"/>
  <c r="Q16" i="1" s="1"/>
  <c r="P25" i="1"/>
  <c r="O30" i="1"/>
  <c r="K50" i="7"/>
  <c r="X3" i="7"/>
  <c r="B113" i="10"/>
  <c r="B115" i="10" s="1"/>
  <c r="E30" i="10"/>
  <c r="O49" i="1"/>
  <c r="P2" i="1"/>
  <c r="O13" i="1"/>
  <c r="R14" i="1"/>
  <c r="Q14" i="1" s="1"/>
  <c r="R17" i="1"/>
  <c r="Q17" i="1" s="1"/>
  <c r="O25" i="1"/>
  <c r="R26" i="1"/>
  <c r="Q26" i="1" s="1"/>
  <c r="P28" i="1"/>
  <c r="P33" i="1"/>
  <c r="R34" i="1"/>
  <c r="Q34" i="1" s="1"/>
  <c r="O42" i="1"/>
  <c r="M50" i="7"/>
  <c r="P42" i="1"/>
  <c r="E16" i="10"/>
  <c r="E25" i="10" s="1"/>
  <c r="E29" i="10" s="1"/>
  <c r="B71" i="10"/>
  <c r="O27" i="1"/>
  <c r="P30" i="1"/>
  <c r="O35" i="1"/>
  <c r="P15" i="1"/>
  <c r="O22" i="1"/>
  <c r="O24" i="1"/>
  <c r="P27" i="1"/>
  <c r="P35" i="1"/>
  <c r="O29" i="1"/>
  <c r="O15" i="1"/>
  <c r="P24" i="1"/>
  <c r="O14" i="1"/>
  <c r="O26" i="1"/>
  <c r="O34" i="1"/>
  <c r="X18" i="7" l="1"/>
  <c r="C60" i="7"/>
  <c r="J60" i="1" l="1"/>
  <c r="L60" i="1"/>
  <c r="K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Nayak, Arathi</author>
  </authors>
  <commentList>
    <comment ref="D48" authorId="0" shapeId="0" xr:uid="{19B23056-1723-410D-8EDF-75673990DD23}">
      <text>
        <r>
          <rPr>
            <b/>
            <sz val="9"/>
            <color indexed="81"/>
            <rFont val="Tahoma"/>
            <family val="2"/>
          </rPr>
          <t>Nayak, Arathi:</t>
        </r>
        <r>
          <rPr>
            <sz val="9"/>
            <color indexed="81"/>
            <rFont val="Tahoma"/>
            <family val="2"/>
          </rPr>
          <t xml:space="preserve">
Starts December 2022</t>
        </r>
      </text>
    </comment>
  </commentList>
</comments>
</file>

<file path=xl/sharedStrings.xml><?xml version="1.0" encoding="utf-8"?>
<sst xmlns="http://schemas.openxmlformats.org/spreadsheetml/2006/main" count="649" uniqueCount="400">
  <si>
    <t>ID</t>
  </si>
  <si>
    <t>FirstName</t>
  </si>
  <si>
    <t>LastName</t>
  </si>
  <si>
    <t xml:space="preserve">Business Name </t>
  </si>
  <si>
    <t>Loan Amount Approved by Loan Committee</t>
  </si>
  <si>
    <t>Date Funded</t>
  </si>
  <si>
    <t>First Payment Date</t>
  </si>
  <si>
    <t>Monthly Payment Amount</t>
  </si>
  <si>
    <t>July</t>
  </si>
  <si>
    <t>August</t>
  </si>
  <si>
    <t>September</t>
  </si>
  <si>
    <t>October</t>
  </si>
  <si>
    <t>November</t>
  </si>
  <si>
    <t xml:space="preserve">December </t>
  </si>
  <si>
    <t>Total Payments</t>
  </si>
  <si>
    <t>Balance</t>
  </si>
  <si>
    <t>Status</t>
  </si>
  <si>
    <t>Difference</t>
  </si>
  <si>
    <t>Comment</t>
  </si>
  <si>
    <t>Amanda</t>
  </si>
  <si>
    <t>Echeverria</t>
  </si>
  <si>
    <t>Paluk Echeverria Dental PC</t>
  </si>
  <si>
    <t>Mark</t>
  </si>
  <si>
    <t>Minshew</t>
  </si>
  <si>
    <t>The Door Man LLC</t>
  </si>
  <si>
    <t>Ola</t>
  </si>
  <si>
    <t>Ziraba</t>
  </si>
  <si>
    <t>Houston Gifted Childlife, Inc dba Sienna Montessori School</t>
  </si>
  <si>
    <t>Stormi</t>
  </si>
  <si>
    <t>Meche</t>
  </si>
  <si>
    <t>Stormi's Cheer Studio</t>
  </si>
  <si>
    <t>Debited missed payment in November</t>
  </si>
  <si>
    <t>Shabib</t>
  </si>
  <si>
    <t>Norlina Inc</t>
  </si>
  <si>
    <t>Current</t>
  </si>
  <si>
    <t xml:space="preserve">Paid $10 more </t>
  </si>
  <si>
    <t>Michelle</t>
  </si>
  <si>
    <t>Cofer</t>
  </si>
  <si>
    <t>Gulf Coast Aviation Services, LLC</t>
  </si>
  <si>
    <t>Auto pay has been set to catch up with missed payment</t>
  </si>
  <si>
    <t xml:space="preserve">Valerie </t>
  </si>
  <si>
    <t xml:space="preserve">Ragland </t>
  </si>
  <si>
    <t xml:space="preserve">Discovering Minds Child Development Center </t>
  </si>
  <si>
    <t>Nelson</t>
  </si>
  <si>
    <t>Amaya</t>
  </si>
  <si>
    <t>Amaya Ventures, LLC dba 3 Spoons Yogurt</t>
  </si>
  <si>
    <t>Elisa</t>
  </si>
  <si>
    <t>Terra</t>
  </si>
  <si>
    <t>Terra Vega</t>
  </si>
  <si>
    <t>Linda</t>
  </si>
  <si>
    <t>NEELY-SHELMIRE</t>
  </si>
  <si>
    <t>GOOD HEALTH PEDIATRICS AND WELLNESS CLINIC, LLC</t>
  </si>
  <si>
    <t>Sabbath</t>
  </si>
  <si>
    <t>Obot</t>
  </si>
  <si>
    <t>Sabbath Staffing LLC dba Spherion Staffing</t>
  </si>
  <si>
    <t>MAGNO</t>
  </si>
  <si>
    <t>GUILLEN</t>
  </si>
  <si>
    <t>GUILLEN &amp; GUILLEN ASSOCIATES LLC</t>
  </si>
  <si>
    <t xml:space="preserve">Dinesh </t>
  </si>
  <si>
    <t>Gupta</t>
  </si>
  <si>
    <t>AVDHESH MANAGEMENT TEXAS CITY</t>
  </si>
  <si>
    <t xml:space="preserve">Filing Bankruptcy </t>
  </si>
  <si>
    <t>Monica</t>
  </si>
  <si>
    <t>Akompi</t>
  </si>
  <si>
    <t>CarePoint Health, Inc</t>
  </si>
  <si>
    <t>Pamela</t>
  </si>
  <si>
    <t>Jones</t>
  </si>
  <si>
    <t>Apogee STEM Discovery Learning Academy</t>
  </si>
  <si>
    <t>Credesha</t>
  </si>
  <si>
    <t>Brown-Bellanger</t>
  </si>
  <si>
    <t>Living and Loving Home Care LLC</t>
  </si>
  <si>
    <t>Bruno</t>
  </si>
  <si>
    <t>Cencini</t>
  </si>
  <si>
    <t>Italian Jewel Corp dba Best Western Plus Lake Jackson Inn &amp; Suites</t>
  </si>
  <si>
    <t>ROCHANDA</t>
  </si>
  <si>
    <t>DAVIDSON</t>
  </si>
  <si>
    <t>GIGGLES AND GRINS LEARNING ACADEMY</t>
  </si>
  <si>
    <t>August and November payment in Jan 2022</t>
  </si>
  <si>
    <t>Borrower provided new bank account to charge 2 payment for november but it got declined with reason unable to locate account</t>
  </si>
  <si>
    <t>Marcus</t>
  </si>
  <si>
    <t>Rockwell</t>
  </si>
  <si>
    <t>Rockwell IT Services, Inc</t>
  </si>
  <si>
    <t>Tracey</t>
  </si>
  <si>
    <t>Moore</t>
  </si>
  <si>
    <t>Anchoring Hopes Wellness Recovery Institute</t>
  </si>
  <si>
    <t>Vanessa</t>
  </si>
  <si>
    <t>Boles</t>
  </si>
  <si>
    <t>WGCF Texas LLC</t>
  </si>
  <si>
    <t>Paid Off</t>
  </si>
  <si>
    <t>KARTHIK</t>
  </si>
  <si>
    <t>KALEEDHASS</t>
  </si>
  <si>
    <t>BRAHMARSK CORPORATION</t>
  </si>
  <si>
    <t xml:space="preserve"> Duplicate in august. Customer did direct ACH and also we did chase debit. </t>
  </si>
  <si>
    <t>Krishna</t>
  </si>
  <si>
    <t>Prasad</t>
  </si>
  <si>
    <t>Kenall Inc</t>
  </si>
  <si>
    <t>Dolores</t>
  </si>
  <si>
    <t>Allen</t>
  </si>
  <si>
    <t>D's Family Kitchen</t>
  </si>
  <si>
    <t>Chrystal</t>
  </si>
  <si>
    <t>Beasley</t>
  </si>
  <si>
    <t>Chrystal's Palace</t>
  </si>
  <si>
    <t>Alphanzo</t>
  </si>
  <si>
    <t>Townsend</t>
  </si>
  <si>
    <t>ATViroTech Inc</t>
  </si>
  <si>
    <t>Roberto</t>
  </si>
  <si>
    <t>Giles</t>
  </si>
  <si>
    <t>Cool Dental PLLC</t>
  </si>
  <si>
    <t>Vega</t>
  </si>
  <si>
    <t>The Vega Law Firm PLLC</t>
  </si>
  <si>
    <t>OMOBONIKE</t>
  </si>
  <si>
    <t>OLOWE</t>
  </si>
  <si>
    <t>EMTOB EDUCATIONAL &amp; CARE SERVICES</t>
  </si>
  <si>
    <t>Imran</t>
  </si>
  <si>
    <t>Rabbani</t>
  </si>
  <si>
    <t>Neha T-shirt</t>
  </si>
  <si>
    <t>John</t>
  </si>
  <si>
    <t>Reyes</t>
  </si>
  <si>
    <t>World Commerce Forwarding, Inc.</t>
  </si>
  <si>
    <t>Asim</t>
  </si>
  <si>
    <t>Iftikhar</t>
  </si>
  <si>
    <t>TAAR Inc.</t>
  </si>
  <si>
    <t>Paulishia</t>
  </si>
  <si>
    <t>Augillard</t>
  </si>
  <si>
    <t>Polly Clinical Services LLC</t>
  </si>
  <si>
    <t>November Payment retruned due to insufficient fund. New account has a same issue</t>
  </si>
  <si>
    <t xml:space="preserve">JChristopher </t>
  </si>
  <si>
    <t>Anderson</t>
  </si>
  <si>
    <t xml:space="preserve">Triple 7 Ranch </t>
  </si>
  <si>
    <t>July + Nov+Dec+Jan 22 has been paid. Start debit from Feb 22</t>
  </si>
  <si>
    <t>DWAN</t>
  </si>
  <si>
    <t>SAMUEL</t>
  </si>
  <si>
    <t>D&amp;D'S TAX SERVICE &amp; NOTARY INC</t>
  </si>
  <si>
    <t>November Payment retruned due to insufficient fund</t>
  </si>
  <si>
    <t>MUKESHBHAI</t>
  </si>
  <si>
    <t>HARI</t>
  </si>
  <si>
    <t>MBN INC</t>
  </si>
  <si>
    <t>Tiana</t>
  </si>
  <si>
    <t>Ochoa</t>
  </si>
  <si>
    <t>Tiana Ochoa Mortgage &amp; Real Estate Services</t>
  </si>
  <si>
    <t>Mukesh</t>
  </si>
  <si>
    <t>Patel</t>
  </si>
  <si>
    <t>Grand Palace Inn</t>
  </si>
  <si>
    <t>NA</t>
  </si>
  <si>
    <t xml:space="preserve">Filiberto </t>
  </si>
  <si>
    <t xml:space="preserve">Godinez </t>
  </si>
  <si>
    <t xml:space="preserve">Mia Home Furniture </t>
  </si>
  <si>
    <t xml:space="preserve">Ruth </t>
  </si>
  <si>
    <t xml:space="preserve">Lopez </t>
  </si>
  <si>
    <t xml:space="preserve">Voyager Precision Machining </t>
  </si>
  <si>
    <t>Niurka</t>
  </si>
  <si>
    <t>Cisneros</t>
  </si>
  <si>
    <t>Early Discovery Montessori Academy INC.</t>
  </si>
  <si>
    <t>October payment got through late in Kota pay and also borrower did ACH</t>
  </si>
  <si>
    <t xml:space="preserve">Kolet </t>
  </si>
  <si>
    <t xml:space="preserve">Boudreaux </t>
  </si>
  <si>
    <t xml:space="preserve">View Point Window &amp; Facilities Service, LLC </t>
  </si>
  <si>
    <t>Elizabeth</t>
  </si>
  <si>
    <t>ZOE Products International</t>
  </si>
  <si>
    <t xml:space="preserve">Nancy </t>
  </si>
  <si>
    <t>Mai</t>
  </si>
  <si>
    <t>Apple Dentists PLLC</t>
  </si>
  <si>
    <t>Julius</t>
  </si>
  <si>
    <t>Oben</t>
  </si>
  <si>
    <t>Emmons Pharmacy LLC</t>
  </si>
  <si>
    <t>Benito</t>
  </si>
  <si>
    <t>Cardenas</t>
  </si>
  <si>
    <t>B.Cardenas Construction</t>
  </si>
  <si>
    <t>Callaway</t>
  </si>
  <si>
    <t>Callaway Dental PC</t>
  </si>
  <si>
    <t>Total</t>
  </si>
  <si>
    <t xml:space="preserve">Principal </t>
  </si>
  <si>
    <t xml:space="preserve">Interest </t>
  </si>
  <si>
    <t>Month</t>
  </si>
  <si>
    <t xml:space="preserve">July </t>
  </si>
  <si>
    <t xml:space="preserve">August </t>
  </si>
  <si>
    <t xml:space="preserve">Sept </t>
  </si>
  <si>
    <t xml:space="preserve">Oct </t>
  </si>
  <si>
    <t>Oct Loan Pay off by Venssa Boles</t>
  </si>
  <si>
    <t>Nov</t>
  </si>
  <si>
    <t>Dec</t>
  </si>
  <si>
    <t xml:space="preserve">Interest is from Voyager Precision Machining. They are paying loan in next 12 months and schedule has been revised. </t>
  </si>
  <si>
    <t>Jan</t>
  </si>
  <si>
    <t>August Interest</t>
  </si>
  <si>
    <t>Sept Interest</t>
  </si>
  <si>
    <t>2021 Collection</t>
  </si>
  <si>
    <t>2022 Beginning Balance</t>
  </si>
  <si>
    <t xml:space="preserve"> Jan </t>
  </si>
  <si>
    <t>Feb</t>
  </si>
  <si>
    <t xml:space="preserve">March </t>
  </si>
  <si>
    <t>April</t>
  </si>
  <si>
    <t>May</t>
  </si>
  <si>
    <t>June</t>
  </si>
  <si>
    <t>Total  2022</t>
  </si>
  <si>
    <t>Set auto pay for 28th of every month</t>
  </si>
  <si>
    <t>Oct Loan Pay off</t>
  </si>
  <si>
    <t xml:space="preserve">ROCHANDA Davidson payment received in Jan for 2 missed payment </t>
  </si>
  <si>
    <t>Polly Clinical Services LLC Jan payment was received in feb 2022</t>
  </si>
  <si>
    <t>Michelle Coffer payment received in feb for 2 missed payment</t>
  </si>
  <si>
    <t xml:space="preserve">GULF COAST ECONOMIC DEVELOPMENT DISTRICT - RLS SUMMARY:  </t>
  </si>
  <si>
    <t>Loan Name</t>
  </si>
  <si>
    <t xml:space="preserve">Loan Number </t>
  </si>
  <si>
    <t xml:space="preserve">Amount </t>
  </si>
  <si>
    <t>Payment</t>
  </si>
  <si>
    <t>Balance Remaining</t>
  </si>
  <si>
    <t>Comments</t>
  </si>
  <si>
    <t>Business Type</t>
  </si>
  <si>
    <t>RK Resources, LP</t>
  </si>
  <si>
    <t>905-027</t>
  </si>
  <si>
    <t>PAID OFF</t>
  </si>
  <si>
    <t>Temp. Agency</t>
  </si>
  <si>
    <t>Savannah Car Care</t>
  </si>
  <si>
    <t>905-036</t>
  </si>
  <si>
    <t>Wrote off-$73,093.04</t>
  </si>
  <si>
    <t>Auto Repair</t>
  </si>
  <si>
    <t>D.W Marquardt</t>
  </si>
  <si>
    <t>905-047</t>
  </si>
  <si>
    <t>Restaurant</t>
  </si>
  <si>
    <t>AIM Institute of Massage and Fitness</t>
  </si>
  <si>
    <t>905-049</t>
  </si>
  <si>
    <t>Wrote off-$104,717.23</t>
  </si>
  <si>
    <t>Massage School</t>
  </si>
  <si>
    <t>Red Bluff Pet Care Center</t>
  </si>
  <si>
    <t>905-050</t>
  </si>
  <si>
    <t>Vet/Pet Boarding</t>
  </si>
  <si>
    <t>Ooh La La Crepes</t>
  </si>
  <si>
    <t>905-052</t>
  </si>
  <si>
    <t>David's Fine Meats</t>
  </si>
  <si>
    <t>905-053</t>
  </si>
  <si>
    <t>Wrote off-$160,172.77</t>
  </si>
  <si>
    <t>Specialty Butcher</t>
  </si>
  <si>
    <t>IMC, Inc</t>
  </si>
  <si>
    <t>905-054</t>
  </si>
  <si>
    <t>Manufacturing/Metals Fabrication</t>
  </si>
  <si>
    <t>Neutex Lighting</t>
  </si>
  <si>
    <t>905-055</t>
  </si>
  <si>
    <t>LED Lighting</t>
  </si>
  <si>
    <t xml:space="preserve">City of Liberty </t>
  </si>
  <si>
    <t>905-056</t>
  </si>
  <si>
    <t xml:space="preserve">Government Entity </t>
  </si>
  <si>
    <t>Labrada Bodybuilding/Nutrition</t>
  </si>
  <si>
    <t>905-057</t>
  </si>
  <si>
    <t>Manufacturing/Nurtrition Products</t>
  </si>
  <si>
    <t>Simski LLC, DBA Hardheads</t>
  </si>
  <si>
    <t>905-058</t>
  </si>
  <si>
    <t>GlowZone</t>
  </si>
  <si>
    <t>905-059</t>
  </si>
  <si>
    <t>Write off</t>
  </si>
  <si>
    <t>Family Entertainment</t>
  </si>
  <si>
    <t>Caldwell County Chevrolet</t>
  </si>
  <si>
    <t>905-060</t>
  </si>
  <si>
    <t>Car Dealership</t>
  </si>
  <si>
    <t>New Star Hotel Management</t>
  </si>
  <si>
    <t>905-061</t>
  </si>
  <si>
    <t>Hotel-Quality Inn and Suites</t>
  </si>
  <si>
    <t>Avdhesh Management</t>
  </si>
  <si>
    <t>905-062</t>
  </si>
  <si>
    <t>Schlotzsky's Deli</t>
  </si>
  <si>
    <t>Phoenix Pump</t>
  </si>
  <si>
    <t>905-063</t>
  </si>
  <si>
    <t>Fire Pump Equipment</t>
  </si>
  <si>
    <t>Trash Cowboys</t>
  </si>
  <si>
    <t>905-064</t>
  </si>
  <si>
    <t>City of Palacios</t>
  </si>
  <si>
    <t>905-065</t>
  </si>
  <si>
    <t>TruMed Pharmacy</t>
  </si>
  <si>
    <t>905-066</t>
  </si>
  <si>
    <t>Pharmacy</t>
  </si>
  <si>
    <t>Ameer Transporation</t>
  </si>
  <si>
    <t>905-067</t>
  </si>
  <si>
    <t>TOTALS</t>
  </si>
  <si>
    <t>Interest</t>
  </si>
  <si>
    <t>Notes Receivable</t>
  </si>
  <si>
    <t>Balance to Loan</t>
  </si>
  <si>
    <t>Loan</t>
  </si>
  <si>
    <t>Principle 1/31/2018</t>
  </si>
  <si>
    <t>Interest 1/31/2018</t>
  </si>
  <si>
    <t>Principle 2/28/2018</t>
  </si>
  <si>
    <t>Interest 2/28/2018</t>
  </si>
  <si>
    <t>Principle 3/31/2018</t>
  </si>
  <si>
    <t>Interest 03/31/2018</t>
  </si>
  <si>
    <t>Principle 4/30/2018</t>
  </si>
  <si>
    <t>Interest 04/30/2018</t>
  </si>
  <si>
    <t>Principle 5/31/2018</t>
  </si>
  <si>
    <t>Interest 05/31/2018</t>
  </si>
  <si>
    <t>Principle 6/30/2018</t>
  </si>
  <si>
    <t>Interest 06/30/2018</t>
  </si>
  <si>
    <t>Principle 7/31/2018</t>
  </si>
  <si>
    <t>Interest 07/31/2018</t>
  </si>
  <si>
    <t>Principle 8/31/2018</t>
  </si>
  <si>
    <t>Interest 08/31/2018</t>
  </si>
  <si>
    <t>Principle 9/30/2018</t>
  </si>
  <si>
    <t>Interest 09/30/2018</t>
  </si>
  <si>
    <t>Principle 10/31/2018</t>
  </si>
  <si>
    <t>Interest 10/31/2018</t>
  </si>
  <si>
    <t>Principle 1/31/2019</t>
  </si>
  <si>
    <t>Interest 1/31/2019</t>
  </si>
  <si>
    <t>Principle 2/28/2019</t>
  </si>
  <si>
    <t>Interest 2/28/2019</t>
  </si>
  <si>
    <t>Principle 3/31/2019</t>
  </si>
  <si>
    <t>Interest 03/31/2019</t>
  </si>
  <si>
    <t>Principle 4/30/2019</t>
  </si>
  <si>
    <t>Interest 04/30/2019</t>
  </si>
  <si>
    <t>Principle 5/31/2019</t>
  </si>
  <si>
    <t>Interest 05/31/2019</t>
  </si>
  <si>
    <t>Principle 6/30/2019</t>
  </si>
  <si>
    <t>Interest 06/30/2019</t>
  </si>
  <si>
    <t>Principle 7/31/2019</t>
  </si>
  <si>
    <t>Interest 07/31/2019</t>
  </si>
  <si>
    <t>Principle 8/31/2019</t>
  </si>
  <si>
    <t>Interest 08/31/2019</t>
  </si>
  <si>
    <t>Principle 9/30/2019</t>
  </si>
  <si>
    <t>Interest 09/30/2019</t>
  </si>
  <si>
    <t>Principle 10/31/2019</t>
  </si>
  <si>
    <t>Interest 10/31/2019</t>
  </si>
  <si>
    <t>Principle 11/30/2019</t>
  </si>
  <si>
    <t>Interest 11/30/2019</t>
  </si>
  <si>
    <t>Principle 12/31/2019</t>
  </si>
  <si>
    <t>Interest 12/31/2019</t>
  </si>
  <si>
    <t>With Admin</t>
  </si>
  <si>
    <t>25% Capital Base</t>
  </si>
  <si>
    <t>Capital Base Now (9/30/17)</t>
  </si>
  <si>
    <t>Excess</t>
  </si>
  <si>
    <t>Sequestered</t>
  </si>
  <si>
    <t>Total Principle as of 02/10/2022</t>
  </si>
  <si>
    <t>Interest Balance 2011</t>
  </si>
  <si>
    <t>Interest Balance 2012</t>
  </si>
  <si>
    <t>Interest Balance 2013</t>
  </si>
  <si>
    <t>Interest Balance 2014</t>
  </si>
  <si>
    <t>Interest Balance 2015</t>
  </si>
  <si>
    <t>Interest Balance 2016</t>
  </si>
  <si>
    <t>Interest Balance 2017</t>
  </si>
  <si>
    <t>Interest Balance 2018</t>
  </si>
  <si>
    <t>Interest Balance 2019</t>
  </si>
  <si>
    <t>Interest Balance 2020</t>
  </si>
  <si>
    <t>Interest Balance 2021</t>
  </si>
  <si>
    <t>Interest Balance 2022</t>
  </si>
  <si>
    <t>Balance for Loans</t>
  </si>
  <si>
    <t>Bank Balance RLF-12/31/17</t>
  </si>
  <si>
    <t>CAFR 2016 Recon sheet</t>
  </si>
  <si>
    <t>2018 Prin. &amp; Interest Loan</t>
  </si>
  <si>
    <t>37,693.06 + 27,140.43</t>
  </si>
  <si>
    <t>2018 Expenses</t>
  </si>
  <si>
    <t>tab-EDAC.09.0107-&amp; EDAC.09.0105</t>
  </si>
  <si>
    <t>Ending Balnce-12/31/18</t>
  </si>
  <si>
    <t>Bank Balance RLF-12/31/16</t>
  </si>
  <si>
    <t>2017 Prin. &amp; Interest Loan</t>
  </si>
  <si>
    <t>110,602.67+30467.92</t>
  </si>
  <si>
    <t>2017 Expenses</t>
  </si>
  <si>
    <t>Ending Balnce-12/31/17</t>
  </si>
  <si>
    <t>Bank Balance RLF-12/31/15</t>
  </si>
  <si>
    <t>CAFR 2015 Recon sheet</t>
  </si>
  <si>
    <t>2016 Prin. &amp; Interest Loan</t>
  </si>
  <si>
    <t>240322.35+42554.81</t>
  </si>
  <si>
    <t>2016 Expenses</t>
  </si>
  <si>
    <t>tab-EDAC.09.0107-No new loans</t>
  </si>
  <si>
    <t>Ending Balnce-12/31/16</t>
  </si>
  <si>
    <t>Bank Balance RLF-12/31/14</t>
  </si>
  <si>
    <t>CAFR 2014 Recon sheet</t>
  </si>
  <si>
    <t>2015 Prin. &amp; Interest Loan</t>
  </si>
  <si>
    <t>169410.95+53213.08</t>
  </si>
  <si>
    <t>2015 Expenses</t>
  </si>
  <si>
    <t>tab-EDAC.09.0105&amp;EDAC.09.0107</t>
  </si>
  <si>
    <t>Ending Balnce-12/31/15</t>
  </si>
  <si>
    <t>Trash Cow Boy</t>
  </si>
  <si>
    <t xml:space="preserve">Trumed </t>
  </si>
  <si>
    <t>Ameer</t>
  </si>
  <si>
    <t>City of Liberty</t>
  </si>
  <si>
    <t>Simskie</t>
  </si>
  <si>
    <t>New Star Hotel</t>
  </si>
  <si>
    <t>Phoenix pump</t>
  </si>
  <si>
    <t>Ciy of Prairie View Texas</t>
  </si>
  <si>
    <t>December</t>
  </si>
  <si>
    <t xml:space="preserve">Total 2022 Interest </t>
  </si>
  <si>
    <t xml:space="preserve"> CARES RLF - 1 Repayment Collection Status</t>
  </si>
  <si>
    <t>LAWRENCE</t>
  </si>
  <si>
    <t>SANUSI</t>
  </si>
  <si>
    <t>RELIANT GLOBAL TECHNOLOGY, INC.</t>
  </si>
  <si>
    <t>Reliant Global</t>
  </si>
  <si>
    <t>Avdesh</t>
  </si>
  <si>
    <t>Sept</t>
  </si>
  <si>
    <t>Current (write Off 75,165.67)</t>
  </si>
  <si>
    <t>August -Int</t>
  </si>
  <si>
    <t>July -Int</t>
  </si>
  <si>
    <t>Sept -Int</t>
  </si>
  <si>
    <t>Paid .28 cents less in august</t>
  </si>
  <si>
    <t>Balance Avilable to Lend</t>
  </si>
  <si>
    <t xml:space="preserve">Total RLF under CARES ACT RLF </t>
  </si>
  <si>
    <t xml:space="preserve">Avdesh </t>
  </si>
  <si>
    <t>New amount</t>
  </si>
  <si>
    <t>Paid before write off</t>
  </si>
  <si>
    <t xml:space="preserve">Balance </t>
  </si>
  <si>
    <t>Write Off</t>
  </si>
  <si>
    <t>Old RLF</t>
  </si>
  <si>
    <t xml:space="preserve">Total out Standing </t>
  </si>
  <si>
    <t>Less - Collection as of Sept 2022</t>
  </si>
  <si>
    <t xml:space="preserve">Less- Avdesh Write off </t>
  </si>
  <si>
    <t xml:space="preserve">Amount Avilable to Lend </t>
  </si>
  <si>
    <t xml:space="preserve">Add - New Loan issued from Principal collection </t>
  </si>
  <si>
    <t>Interest Earned as of Sept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</si>
</sst>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,##0.00_ ;[Red]\-#,##0.00\ "/>
    <numFmt numFmtId="166" formatCode="&quot;$&quot;#,##0.00"/>
    <numFmt numFmtId="167" formatCode="&quot;$&quot;#,##0.00;[Red]\-&quot;$&quot;#,##0.00"/>
    <numFmt numFmtId="168" formatCode="[$-409]mmmm\-yy;@"/>
  </numFmts>
  <fonts count="3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7"/>
      <name val="Arial"/>
      <family val="2"/>
    </font>
    <font>
      <u/>
      <sz val="7"/>
      <name val="Arial"/>
      <family val="2"/>
    </font>
    <font>
      <u val="singleAccounting"/>
      <sz val="7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 tint="0.2499465926084170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5A5A5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8" fillId="5" borderId="16" applyNumberFormat="0" applyAlignment="0" applyProtection="0"/>
    <xf numFmtId="0" fontId="20" fillId="0" borderId="0" applyNumberFormat="0" applyFill="0" applyBorder="0" applyAlignment="0" applyProtection="0"/>
    <xf numFmtId="0" fontId="21" fillId="0" borderId="24" applyNumberFormat="0" applyFill="0" applyAlignment="0" applyProtection="0"/>
    <xf numFmtId="0" fontId="22" fillId="0" borderId="25" applyNumberFormat="0" applyFill="0" applyAlignment="0" applyProtection="0"/>
    <xf numFmtId="0" fontId="23" fillId="0" borderId="26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7" fillId="13" borderId="27" applyNumberFormat="0" applyAlignment="0" applyProtection="0"/>
    <xf numFmtId="0" fontId="28" fillId="14" borderId="28" applyNumberFormat="0" applyAlignment="0" applyProtection="0"/>
    <xf numFmtId="0" fontId="29" fillId="14" borderId="27" applyNumberFormat="0" applyAlignment="0" applyProtection="0"/>
    <xf numFmtId="0" fontId="30" fillId="0" borderId="29" applyNumberFormat="0" applyFill="0" applyAlignment="0" applyProtection="0"/>
    <xf numFmtId="0" fontId="1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31" applyNumberFormat="0" applyFill="0" applyAlignment="0" applyProtection="0"/>
    <xf numFmtId="0" fontId="32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32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32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32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2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2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0" borderId="0"/>
    <xf numFmtId="0" fontId="18" fillId="40" borderId="16" applyNumberFormat="0" applyAlignment="0" applyProtection="0"/>
    <xf numFmtId="0" fontId="4" fillId="15" borderId="30" applyNumberFormat="0" applyFont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35" fillId="2" borderId="0" applyFont="0" applyFill="0" applyBorder="0" applyProtection="0">
      <alignment horizontal="right" indent="2"/>
    </xf>
  </cellStyleXfs>
  <cellXfs count="193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166" fontId="0" fillId="0" borderId="1" xfId="0" applyNumberFormat="1" applyFill="1" applyBorder="1"/>
    <xf numFmtId="0" fontId="0" fillId="0" borderId="1" xfId="0" applyFill="1" applyBorder="1"/>
    <xf numFmtId="164" fontId="0" fillId="0" borderId="1" xfId="2" applyNumberFormat="1" applyFont="1" applyFill="1" applyBorder="1"/>
    <xf numFmtId="14" fontId="0" fillId="0" borderId="1" xfId="0" applyNumberFormat="1" applyFill="1" applyBorder="1"/>
    <xf numFmtId="166" fontId="0" fillId="0" borderId="3" xfId="0" applyNumberFormat="1" applyFill="1" applyBorder="1"/>
    <xf numFmtId="164" fontId="0" fillId="0" borderId="1" xfId="2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wrapText="1"/>
    </xf>
    <xf numFmtId="166" fontId="0" fillId="0" borderId="0" xfId="0" applyNumberFormat="1"/>
    <xf numFmtId="0" fontId="0" fillId="3" borderId="0" xfId="0" applyFill="1"/>
    <xf numFmtId="0" fontId="0" fillId="0" borderId="0" xfId="0" applyFill="1"/>
    <xf numFmtId="2" fontId="0" fillId="0" borderId="0" xfId="0" applyNumberFormat="1"/>
    <xf numFmtId="2" fontId="5" fillId="0" borderId="0" xfId="0" applyNumberFormat="1" applyFont="1"/>
    <xf numFmtId="0" fontId="0" fillId="0" borderId="1" xfId="0" applyBorder="1"/>
    <xf numFmtId="43" fontId="0" fillId="0" borderId="1" xfId="1" applyFont="1" applyBorder="1"/>
    <xf numFmtId="0" fontId="0" fillId="3" borderId="1" xfId="0" applyFill="1" applyBorder="1"/>
    <xf numFmtId="0" fontId="6" fillId="0" borderId="0" xfId="0" applyFont="1"/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67" fontId="0" fillId="0" borderId="1" xfId="0" applyNumberFormat="1" applyBorder="1"/>
    <xf numFmtId="165" fontId="0" fillId="0" borderId="1" xfId="0" applyNumberFormat="1" applyBorder="1"/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167" fontId="0" fillId="0" borderId="7" xfId="0" applyNumberFormat="1" applyBorder="1"/>
    <xf numFmtId="165" fontId="0" fillId="0" borderId="7" xfId="0" applyNumberFormat="1" applyBorder="1"/>
    <xf numFmtId="0" fontId="9" fillId="5" borderId="8" xfId="3" applyFont="1" applyBorder="1"/>
    <xf numFmtId="167" fontId="9" fillId="5" borderId="8" xfId="3" applyNumberFormat="1" applyFont="1" applyBorder="1"/>
    <xf numFmtId="165" fontId="9" fillId="5" borderId="8" xfId="3" applyNumberFormat="1" applyFont="1" applyBorder="1"/>
    <xf numFmtId="165" fontId="0" fillId="0" borderId="0" xfId="0" applyNumberFormat="1"/>
    <xf numFmtId="43" fontId="0" fillId="0" borderId="0" xfId="1" applyFont="1"/>
    <xf numFmtId="8" fontId="0" fillId="0" borderId="0" xfId="0" applyNumberFormat="1"/>
    <xf numFmtId="4" fontId="0" fillId="0" borderId="0" xfId="0" applyNumberFormat="1"/>
    <xf numFmtId="0" fontId="8" fillId="0" borderId="0" xfId="0" applyFont="1"/>
    <xf numFmtId="43" fontId="8" fillId="0" borderId="0" xfId="1" applyFont="1"/>
    <xf numFmtId="167" fontId="5" fillId="3" borderId="0" xfId="0" applyNumberFormat="1" applyFont="1" applyFill="1"/>
    <xf numFmtId="4" fontId="5" fillId="3" borderId="0" xfId="0" applyNumberFormat="1" applyFont="1" applyFill="1"/>
    <xf numFmtId="167" fontId="0" fillId="0" borderId="0" xfId="0" applyNumberFormat="1"/>
    <xf numFmtId="0" fontId="10" fillId="0" borderId="0" xfId="0" applyFont="1"/>
    <xf numFmtId="4" fontId="11" fillId="0" borderId="0" xfId="0" applyNumberFormat="1" applyFont="1"/>
    <xf numFmtId="43" fontId="0" fillId="0" borderId="0" xfId="1" applyFont="1" applyBorder="1"/>
    <xf numFmtId="43" fontId="0" fillId="0" borderId="0" xfId="0" applyNumberFormat="1"/>
    <xf numFmtId="43" fontId="0" fillId="0" borderId="9" xfId="1" applyFont="1" applyBorder="1"/>
    <xf numFmtId="43" fontId="5" fillId="0" borderId="0" xfId="1" applyFont="1"/>
    <xf numFmtId="0" fontId="5" fillId="0" borderId="0" xfId="0" applyFont="1"/>
    <xf numFmtId="43" fontId="5" fillId="0" borderId="0" xfId="0" applyNumberFormat="1" applyFont="1"/>
    <xf numFmtId="0" fontId="10" fillId="0" borderId="0" xfId="0" applyFont="1" applyAlignment="1">
      <alignment horizontal="right"/>
    </xf>
    <xf numFmtId="43" fontId="8" fillId="0" borderId="0" xfId="1" applyFont="1" applyFill="1" applyBorder="1" applyAlignment="1">
      <alignment horizontal="left"/>
    </xf>
    <xf numFmtId="0" fontId="0" fillId="0" borderId="0" xfId="0" applyAlignment="1">
      <alignment horizontal="right"/>
    </xf>
    <xf numFmtId="167" fontId="8" fillId="0" borderId="0" xfId="1" applyNumberFormat="1" applyFont="1" applyFill="1" applyBorder="1" applyAlignment="1">
      <alignment horizontal="center"/>
    </xf>
    <xf numFmtId="43" fontId="8" fillId="0" borderId="0" xfId="1" applyFont="1" applyFill="1" applyBorder="1"/>
    <xf numFmtId="0" fontId="11" fillId="0" borderId="0" xfId="0" applyFont="1" applyAlignment="1">
      <alignment horizontal="center"/>
    </xf>
    <xf numFmtId="167" fontId="0" fillId="0" borderId="0" xfId="1" applyNumberFormat="1" applyFont="1"/>
    <xf numFmtId="39" fontId="0" fillId="0" borderId="0" xfId="2" applyNumberFormat="1" applyFont="1" applyBorder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40" fontId="12" fillId="0" borderId="0" xfId="0" applyNumberFormat="1" applyFont="1" applyAlignment="1">
      <alignment horizontal="right" vertical="top"/>
    </xf>
    <xf numFmtId="0" fontId="13" fillId="0" borderId="0" xfId="0" applyFont="1" applyAlignment="1">
      <alignment vertical="top"/>
    </xf>
    <xf numFmtId="39" fontId="0" fillId="0" borderId="0" xfId="0" applyNumberFormat="1"/>
    <xf numFmtId="0" fontId="8" fillId="0" borderId="0" xfId="0" applyFont="1" applyBorder="1"/>
    <xf numFmtId="167" fontId="0" fillId="0" borderId="0" xfId="0" applyNumberFormat="1" applyBorder="1"/>
    <xf numFmtId="40" fontId="14" fillId="0" borderId="0" xfId="0" applyNumberFormat="1" applyFont="1" applyAlignment="1">
      <alignment horizontal="right" vertical="top"/>
    </xf>
    <xf numFmtId="0" fontId="0" fillId="0" borderId="0" xfId="0" applyFont="1"/>
    <xf numFmtId="0" fontId="6" fillId="3" borderId="0" xfId="0" applyFont="1" applyFill="1"/>
    <xf numFmtId="43" fontId="5" fillId="3" borderId="0" xfId="0" applyNumberFormat="1" applyFont="1" applyFill="1"/>
    <xf numFmtId="43" fontId="0" fillId="0" borderId="0" xfId="1" applyFont="1" applyFill="1"/>
    <xf numFmtId="43" fontId="0" fillId="0" borderId="9" xfId="1" applyFont="1" applyFill="1" applyBorder="1"/>
    <xf numFmtId="4" fontId="0" fillId="0" borderId="9" xfId="0" applyNumberFormat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166" fontId="0" fillId="6" borderId="3" xfId="0" applyNumberFormat="1" applyFill="1" applyBorder="1"/>
    <xf numFmtId="166" fontId="0" fillId="6" borderId="1" xfId="0" applyNumberFormat="1" applyFill="1" applyBorder="1"/>
    <xf numFmtId="0" fontId="5" fillId="0" borderId="0" xfId="0" applyFont="1" applyBorder="1"/>
    <xf numFmtId="164" fontId="5" fillId="7" borderId="0" xfId="0" applyNumberFormat="1" applyFont="1" applyFill="1" applyBorder="1"/>
    <xf numFmtId="0" fontId="5" fillId="7" borderId="0" xfId="0" applyFont="1" applyFill="1" applyBorder="1"/>
    <xf numFmtId="0" fontId="5" fillId="0" borderId="0" xfId="0" applyFont="1" applyBorder="1" applyAlignment="1">
      <alignment horizontal="center"/>
    </xf>
    <xf numFmtId="0" fontId="0" fillId="0" borderId="0" xfId="0" applyBorder="1"/>
    <xf numFmtId="2" fontId="5" fillId="2" borderId="1" xfId="0" applyNumberFormat="1" applyFont="1" applyFill="1" applyBorder="1" applyAlignment="1">
      <alignment horizontal="center" wrapText="1"/>
    </xf>
    <xf numFmtId="43" fontId="0" fillId="0" borderId="10" xfId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2" fontId="0" fillId="3" borderId="10" xfId="0" applyNumberForma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43" fontId="0" fillId="0" borderId="1" xfId="1" applyFont="1" applyFill="1" applyBorder="1"/>
    <xf numFmtId="2" fontId="0" fillId="0" borderId="3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3" fontId="5" fillId="7" borderId="0" xfId="0" applyNumberFormat="1" applyFont="1" applyFill="1" applyBorder="1"/>
    <xf numFmtId="2" fontId="5" fillId="7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4" fontId="0" fillId="0" borderId="1" xfId="2" applyFont="1" applyBorder="1" applyAlignment="1"/>
    <xf numFmtId="44" fontId="0" fillId="0" borderId="1" xfId="0" applyNumberFormat="1" applyBorder="1"/>
    <xf numFmtId="168" fontId="0" fillId="0" borderId="0" xfId="0" applyNumberFormat="1" applyFill="1" applyBorder="1" applyAlignment="1">
      <alignment horizontal="left"/>
    </xf>
    <xf numFmtId="168" fontId="0" fillId="0" borderId="0" xfId="0" applyNumberFormat="1" applyFill="1" applyAlignment="1">
      <alignment horizontal="left"/>
    </xf>
    <xf numFmtId="44" fontId="0" fillId="0" borderId="1" xfId="2" applyFont="1" applyFill="1" applyBorder="1" applyAlignment="1"/>
    <xf numFmtId="44" fontId="0" fillId="0" borderId="1" xfId="2" applyFont="1" applyBorder="1" applyAlignment="1">
      <alignment horizontal="center"/>
    </xf>
    <xf numFmtId="43" fontId="0" fillId="0" borderId="0" xfId="1" applyFont="1" applyFill="1" applyBorder="1" applyAlignment="1">
      <alignment horizontal="left"/>
    </xf>
    <xf numFmtId="166" fontId="0" fillId="0" borderId="10" xfId="0" applyNumberFormat="1" applyFill="1" applyBorder="1" applyAlignment="1">
      <alignment horizontal="center"/>
    </xf>
    <xf numFmtId="166" fontId="0" fillId="0" borderId="11" xfId="0" applyNumberFormat="1" applyFill="1" applyBorder="1" applyAlignment="1">
      <alignment horizontal="center"/>
    </xf>
    <xf numFmtId="166" fontId="0" fillId="8" borderId="10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166" fontId="15" fillId="0" borderId="11" xfId="0" applyNumberFormat="1" applyFont="1" applyFill="1" applyBorder="1" applyAlignment="1">
      <alignment horizontal="center"/>
    </xf>
    <xf numFmtId="166" fontId="0" fillId="0" borderId="10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6" fontId="5" fillId="7" borderId="10" xfId="0" applyNumberFormat="1" applyFont="1" applyFill="1" applyBorder="1" applyAlignment="1">
      <alignment horizontal="center"/>
    </xf>
    <xf numFmtId="166" fontId="5" fillId="7" borderId="12" xfId="0" applyNumberFormat="1" applyFon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43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43" fontId="0" fillId="0" borderId="0" xfId="1" applyFont="1" applyFill="1" applyBorder="1"/>
    <xf numFmtId="43" fontId="0" fillId="0" borderId="0" xfId="0" applyNumberFormat="1" applyFill="1" applyBorder="1"/>
    <xf numFmtId="44" fontId="5" fillId="0" borderId="0" xfId="2" applyFont="1" applyBorder="1" applyAlignment="1">
      <alignment horizontal="left"/>
    </xf>
    <xf numFmtId="44" fontId="5" fillId="0" borderId="0" xfId="2" applyFont="1" applyAlignment="1">
      <alignment horizontal="left"/>
    </xf>
    <xf numFmtId="0" fontId="0" fillId="0" borderId="1" xfId="0" applyFont="1" applyFill="1" applyBorder="1"/>
    <xf numFmtId="0" fontId="0" fillId="9" borderId="1" xfId="0" applyFill="1" applyBorder="1"/>
    <xf numFmtId="164" fontId="0" fillId="9" borderId="1" xfId="2" applyNumberFormat="1" applyFont="1" applyFill="1" applyBorder="1"/>
    <xf numFmtId="14" fontId="0" fillId="9" borderId="1" xfId="0" applyNumberFormat="1" applyFill="1" applyBorder="1"/>
    <xf numFmtId="166" fontId="0" fillId="9" borderId="3" xfId="0" applyNumberFormat="1" applyFill="1" applyBorder="1"/>
    <xf numFmtId="0" fontId="16" fillId="0" borderId="1" xfId="0" applyFont="1" applyFill="1" applyBorder="1"/>
    <xf numFmtId="0" fontId="17" fillId="0" borderId="0" xfId="0" applyFont="1"/>
    <xf numFmtId="166" fontId="5" fillId="0" borderId="0" xfId="0" applyNumberFormat="1" applyFont="1" applyFill="1" applyBorder="1"/>
    <xf numFmtId="44" fontId="0" fillId="0" borderId="0" xfId="0" applyNumberFormat="1"/>
    <xf numFmtId="166" fontId="0" fillId="3" borderId="3" xfId="0" applyNumberFormat="1" applyFill="1" applyBorder="1"/>
    <xf numFmtId="166" fontId="0" fillId="9" borderId="1" xfId="0" applyNumberFormat="1" applyFill="1" applyBorder="1"/>
    <xf numFmtId="166" fontId="0" fillId="0" borderId="3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66" fontId="5" fillId="7" borderId="0" xfId="0" applyNumberFormat="1" applyFont="1" applyFill="1" applyBorder="1"/>
    <xf numFmtId="166" fontId="5" fillId="7" borderId="0" xfId="0" applyNumberFormat="1" applyFont="1" applyFill="1" applyBorder="1" applyAlignment="1">
      <alignment horizontal="center"/>
    </xf>
    <xf numFmtId="166" fontId="5" fillId="7" borderId="10" xfId="0" applyNumberFormat="1" applyFont="1" applyFill="1" applyBorder="1"/>
    <xf numFmtId="166" fontId="5" fillId="3" borderId="12" xfId="0" applyNumberFormat="1" applyFont="1" applyFill="1" applyBorder="1"/>
    <xf numFmtId="166" fontId="0" fillId="0" borderId="0" xfId="0" applyNumberFormat="1" applyFill="1" applyBorder="1"/>
    <xf numFmtId="166" fontId="0" fillId="0" borderId="0" xfId="0" applyNumberForma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44" fontId="0" fillId="0" borderId="11" xfId="2" applyFont="1" applyBorder="1" applyAlignment="1"/>
    <xf numFmtId="44" fontId="0" fillId="0" borderId="11" xfId="0" applyNumberFormat="1" applyBorder="1"/>
    <xf numFmtId="0" fontId="0" fillId="0" borderId="11" xfId="0" applyBorder="1"/>
    <xf numFmtId="43" fontId="0" fillId="0" borderId="0" xfId="0" applyNumberFormat="1" applyBorder="1"/>
    <xf numFmtId="44" fontId="0" fillId="3" borderId="1" xfId="0" applyNumberFormat="1" applyFill="1" applyBorder="1"/>
    <xf numFmtId="0" fontId="5" fillId="0" borderId="1" xfId="0" applyFont="1" applyBorder="1"/>
    <xf numFmtId="0" fontId="5" fillId="2" borderId="12" xfId="0" applyFont="1" applyFill="1" applyBorder="1" applyAlignment="1">
      <alignment wrapText="1"/>
    </xf>
    <xf numFmtId="166" fontId="0" fillId="0" borderId="1" xfId="0" applyNumberFormat="1" applyBorder="1"/>
    <xf numFmtId="0" fontId="0" fillId="8" borderId="1" xfId="0" applyFill="1" applyBorder="1"/>
    <xf numFmtId="0" fontId="0" fillId="0" borderId="1" xfId="0" applyBorder="1" applyAlignment="1"/>
    <xf numFmtId="2" fontId="0" fillId="3" borderId="0" xfId="0" applyNumberFormat="1" applyFill="1"/>
    <xf numFmtId="43" fontId="0" fillId="0" borderId="0" xfId="1" applyFont="1" applyFill="1" applyAlignment="1">
      <alignment horizontal="left"/>
    </xf>
    <xf numFmtId="43" fontId="0" fillId="0" borderId="0" xfId="0" applyNumberForma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68" fontId="0" fillId="0" borderId="23" xfId="0" applyNumberFormat="1" applyFill="1" applyBorder="1" applyAlignment="1">
      <alignment horizontal="left"/>
    </xf>
    <xf numFmtId="0" fontId="0" fillId="0" borderId="23" xfId="0" applyBorder="1"/>
    <xf numFmtId="44" fontId="0" fillId="0" borderId="22" xfId="2" applyFont="1" applyBorder="1" applyAlignment="1">
      <alignment horizontal="center"/>
    </xf>
    <xf numFmtId="44" fontId="5" fillId="0" borderId="23" xfId="2" applyFont="1" applyBorder="1" applyAlignment="1">
      <alignment horizontal="left"/>
    </xf>
    <xf numFmtId="166" fontId="0" fillId="0" borderId="10" xfId="0" applyNumberFormat="1" applyFill="1" applyBorder="1"/>
    <xf numFmtId="43" fontId="0" fillId="0" borderId="1" xfId="1" applyFont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44" fontId="0" fillId="0" borderId="22" xfId="2" applyFont="1" applyFill="1" applyBorder="1" applyAlignment="1">
      <alignment horizontal="center"/>
    </xf>
    <xf numFmtId="43" fontId="0" fillId="0" borderId="10" xfId="1" applyFont="1" applyFill="1" applyBorder="1" applyAlignment="1">
      <alignment horizontal="center"/>
    </xf>
    <xf numFmtId="166" fontId="3" fillId="0" borderId="10" xfId="0" applyNumberFormat="1" applyFont="1" applyFill="1" applyBorder="1" applyAlignment="1">
      <alignment horizontal="center"/>
    </xf>
    <xf numFmtId="0" fontId="8" fillId="0" borderId="7" xfId="0" applyFont="1" applyFill="1" applyBorder="1"/>
    <xf numFmtId="165" fontId="3" fillId="0" borderId="7" xfId="0" applyNumberFormat="1" applyFont="1" applyBorder="1"/>
    <xf numFmtId="40" fontId="12" fillId="0" borderId="0" xfId="0" applyNumberFormat="1" applyFont="1" applyAlignment="1">
      <alignment horizontal="left" vertical="top"/>
    </xf>
    <xf numFmtId="8" fontId="12" fillId="0" borderId="0" xfId="0" applyNumberFormat="1" applyFont="1" applyAlignment="1">
      <alignment horizontal="left" vertical="top"/>
    </xf>
    <xf numFmtId="0" fontId="3" fillId="0" borderId="0" xfId="0" applyFont="1"/>
    <xf numFmtId="0" fontId="2" fillId="0" borderId="0" xfId="0" applyFont="1"/>
    <xf numFmtId="0" fontId="0" fillId="0" borderId="0" xfId="0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7" fillId="4" borderId="4" xfId="3" applyFont="1" applyFill="1" applyBorder="1" applyAlignment="1">
      <alignment horizontal="center"/>
    </xf>
    <xf numFmtId="0" fontId="7" fillId="4" borderId="5" xfId="3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3" fontId="0" fillId="3" borderId="10" xfId="1" applyFont="1" applyFill="1" applyBorder="1" applyAlignment="1">
      <alignment horizontal="center"/>
    </xf>
    <xf numFmtId="0" fontId="1" fillId="0" borderId="0" xfId="0" applyFont="1"/>
    <xf numFmtId="166" fontId="1" fillId="0" borderId="11" xfId="0" applyNumberFormat="1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168" fontId="1" fillId="0" borderId="0" xfId="0" applyNumberFormat="1" applyFont="1" applyFill="1" applyBorder="1" applyAlignment="1">
      <alignment horizontal="left"/>
    </xf>
    <xf numFmtId="0" fontId="1" fillId="0" borderId="0" xfId="0" applyFont="1" applyBorder="1"/>
    <xf numFmtId="39" fontId="0" fillId="0" borderId="0" xfId="1" applyNumberFormat="1" applyFont="1" applyFill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43" fontId="5" fillId="0" borderId="0" xfId="1" applyFont="1" applyFill="1" applyBorder="1" applyAlignment="1">
      <alignment horizontal="left"/>
    </xf>
  </cellXfs>
  <cellStyles count="4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10" builtinId="27" customBuiltin="1"/>
    <cellStyle name="Calculation" xfId="14" builtinId="22" customBuiltin="1"/>
    <cellStyle name="Check Cell" xfId="3" builtinId="23"/>
    <cellStyle name="Check Cell 2" xfId="44" xr:uid="{7C375BCF-28FB-438A-A6C0-620DD7442732}"/>
    <cellStyle name="Comma" xfId="1" builtinId="3"/>
    <cellStyle name="Currency" xfId="2" builtinId="4"/>
    <cellStyle name="Currency 2" xfId="47" xr:uid="{42D172BD-C6FD-48C4-B8EE-BF7E7EB8506B}"/>
    <cellStyle name="Explanatory Text" xfId="17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3" xr:uid="{AE7CD77B-7FB6-4107-8ACF-FAA4AA55FA5A}"/>
    <cellStyle name="Note 2" xfId="45" xr:uid="{DCA40F58-EBB3-49A6-ACE6-A8FE125F41C2}"/>
    <cellStyle name="Output" xfId="13" builtinId="21" customBuiltin="1"/>
    <cellStyle name="Percent 2" xfId="46" xr:uid="{A7290FB0-01DF-4CD6-B083-52A00DF955E0}"/>
    <cellStyle name="Table Amount" xfId="48" xr:uid="{8C0E8865-4625-4CE5-8ECC-F40D153E5A49}"/>
    <cellStyle name="Title" xfId="4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0" y="0"/>
          <a:ext cx="6580505" cy="15995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yak\AppData\Local\Microsoft\Windows\INetCache\Content.Outlook\A32F2XIJ\08.18.2021%20PAYPAL%20PAYMENTS%20TO%20EDA%20POSTED%20TO%20EP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yak\AppData\Local\Microsoft\Windows\INetCache\Content.Outlook\A32F2XIJ\EDA%20REPORT%201231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mentsExport (1)"/>
    </sheetNames>
    <sheetDataSet>
      <sheetData sheetId="0" refreshError="1">
        <row r="2">
          <cell r="B2">
            <v>100090</v>
          </cell>
          <cell r="C2" t="str">
            <v>Prasad, Krishna</v>
          </cell>
          <cell r="D2">
            <v>889.2</v>
          </cell>
          <cell r="E2">
            <v>0</v>
          </cell>
          <cell r="F2">
            <v>0</v>
          </cell>
          <cell r="G2">
            <v>889.2</v>
          </cell>
        </row>
        <row r="3">
          <cell r="B3">
            <v>621178</v>
          </cell>
          <cell r="C3" t="str">
            <v>Terra, Elisa</v>
          </cell>
          <cell r="D3">
            <v>800.28</v>
          </cell>
          <cell r="E3">
            <v>0</v>
          </cell>
          <cell r="F3">
            <v>0</v>
          </cell>
          <cell r="G3">
            <v>800.28</v>
          </cell>
        </row>
        <row r="4">
          <cell r="B4">
            <v>100240</v>
          </cell>
          <cell r="C4" t="str">
            <v>Townsend, Alphanzo</v>
          </cell>
          <cell r="D4">
            <v>889.2</v>
          </cell>
          <cell r="E4">
            <v>0</v>
          </cell>
          <cell r="F4">
            <v>0</v>
          </cell>
          <cell r="G4">
            <v>889.2</v>
          </cell>
        </row>
        <row r="5">
          <cell r="B5">
            <v>100399</v>
          </cell>
          <cell r="C5" t="str">
            <v>Boles, Vanessa</v>
          </cell>
          <cell r="D5">
            <v>1778.4</v>
          </cell>
          <cell r="E5">
            <v>0</v>
          </cell>
          <cell r="F5">
            <v>0</v>
          </cell>
          <cell r="G5">
            <v>1778.4</v>
          </cell>
        </row>
        <row r="6">
          <cell r="B6">
            <v>100139</v>
          </cell>
          <cell r="C6" t="str">
            <v>Jones, Pamela</v>
          </cell>
          <cell r="D6">
            <v>889.2</v>
          </cell>
          <cell r="E6">
            <v>0</v>
          </cell>
          <cell r="F6">
            <v>0</v>
          </cell>
          <cell r="G6">
            <v>889.2</v>
          </cell>
        </row>
        <row r="7">
          <cell r="B7">
            <v>100154</v>
          </cell>
          <cell r="C7" t="str">
            <v>Brown-bellanger, Credesha</v>
          </cell>
          <cell r="D7">
            <v>355.68</v>
          </cell>
          <cell r="E7">
            <v>0</v>
          </cell>
          <cell r="F7">
            <v>0</v>
          </cell>
          <cell r="G7">
            <v>355.68</v>
          </cell>
        </row>
        <row r="8">
          <cell r="B8">
            <v>100175</v>
          </cell>
          <cell r="C8" t="str">
            <v>Rockwell, Marcus</v>
          </cell>
          <cell r="D8">
            <v>355.68</v>
          </cell>
          <cell r="E8">
            <v>0</v>
          </cell>
          <cell r="F8">
            <v>0</v>
          </cell>
          <cell r="G8">
            <v>355.68</v>
          </cell>
        </row>
        <row r="9">
          <cell r="B9">
            <v>100309</v>
          </cell>
          <cell r="C9" t="str">
            <v>Moore, Tracey</v>
          </cell>
          <cell r="D9">
            <v>266.76</v>
          </cell>
          <cell r="E9">
            <v>0</v>
          </cell>
          <cell r="F9">
            <v>0</v>
          </cell>
          <cell r="G9">
            <v>266.76</v>
          </cell>
        </row>
        <row r="10">
          <cell r="B10">
            <v>100335</v>
          </cell>
          <cell r="C10" t="str">
            <v>Cisneros, Niurka</v>
          </cell>
          <cell r="D10">
            <v>444.6</v>
          </cell>
          <cell r="E10">
            <v>0</v>
          </cell>
          <cell r="F10">
            <v>0</v>
          </cell>
          <cell r="G10">
            <v>444.6</v>
          </cell>
        </row>
        <row r="11">
          <cell r="B11">
            <v>100149</v>
          </cell>
          <cell r="C11" t="str">
            <v>Allen, Dolores</v>
          </cell>
          <cell r="D11">
            <v>355.68</v>
          </cell>
          <cell r="E11">
            <v>0</v>
          </cell>
          <cell r="F11">
            <v>0</v>
          </cell>
          <cell r="G11">
            <v>355.68</v>
          </cell>
        </row>
        <row r="12">
          <cell r="B12">
            <v>100151</v>
          </cell>
          <cell r="C12" t="str">
            <v>Beasley, Chrystal</v>
          </cell>
          <cell r="D12">
            <v>177.84</v>
          </cell>
          <cell r="E12">
            <v>0</v>
          </cell>
          <cell r="F12">
            <v>0</v>
          </cell>
          <cell r="G12">
            <v>177.84</v>
          </cell>
        </row>
        <row r="13">
          <cell r="B13">
            <v>100291</v>
          </cell>
          <cell r="C13" t="str">
            <v>Giles, Roberto</v>
          </cell>
          <cell r="D13">
            <v>889.2</v>
          </cell>
          <cell r="E13">
            <v>0</v>
          </cell>
          <cell r="F13">
            <v>0</v>
          </cell>
          <cell r="G13">
            <v>889.2</v>
          </cell>
        </row>
        <row r="14">
          <cell r="B14">
            <v>100302</v>
          </cell>
          <cell r="C14" t="str">
            <v>Vega, Linda</v>
          </cell>
          <cell r="D14">
            <v>889.2</v>
          </cell>
          <cell r="E14">
            <v>0</v>
          </cell>
          <cell r="F14">
            <v>0</v>
          </cell>
          <cell r="G14">
            <v>889.2</v>
          </cell>
        </row>
        <row r="15">
          <cell r="B15">
            <v>100351</v>
          </cell>
          <cell r="C15" t="str">
            <v>Olowe, Omobonike</v>
          </cell>
          <cell r="D15">
            <v>693.58</v>
          </cell>
          <cell r="E15">
            <v>0</v>
          </cell>
          <cell r="F15">
            <v>0</v>
          </cell>
          <cell r="G15">
            <v>693.58</v>
          </cell>
        </row>
        <row r="16">
          <cell r="B16">
            <v>100352</v>
          </cell>
          <cell r="C16" t="str">
            <v>Rabbani, Imran</v>
          </cell>
          <cell r="D16">
            <v>889.2</v>
          </cell>
          <cell r="E16">
            <v>0</v>
          </cell>
          <cell r="F16">
            <v>0</v>
          </cell>
          <cell r="G16">
            <v>889.2</v>
          </cell>
        </row>
        <row r="17">
          <cell r="B17">
            <v>100060</v>
          </cell>
          <cell r="C17" t="str">
            <v>Augillard, Paulishia</v>
          </cell>
          <cell r="D17">
            <v>444.6</v>
          </cell>
          <cell r="E17">
            <v>0</v>
          </cell>
          <cell r="F17">
            <v>0</v>
          </cell>
          <cell r="G17">
            <v>444.6</v>
          </cell>
        </row>
        <row r="18">
          <cell r="B18">
            <v>100081</v>
          </cell>
          <cell r="C18" t="str">
            <v>Anderson, Jchristopher</v>
          </cell>
          <cell r="D18">
            <v>444.6</v>
          </cell>
          <cell r="E18">
            <v>0</v>
          </cell>
          <cell r="F18">
            <v>0</v>
          </cell>
          <cell r="G18">
            <v>444.6</v>
          </cell>
        </row>
        <row r="19">
          <cell r="B19">
            <v>100109</v>
          </cell>
          <cell r="C19" t="str">
            <v>Akompi, Monica</v>
          </cell>
          <cell r="D19">
            <v>889.2</v>
          </cell>
          <cell r="E19">
            <v>0</v>
          </cell>
          <cell r="F19">
            <v>0</v>
          </cell>
          <cell r="G19">
            <v>889.2</v>
          </cell>
        </row>
        <row r="20">
          <cell r="B20">
            <v>100074</v>
          </cell>
          <cell r="C20" t="str">
            <v>Gupta, Dinesh</v>
          </cell>
          <cell r="D20">
            <v>889.2</v>
          </cell>
          <cell r="E20">
            <v>0</v>
          </cell>
          <cell r="F20">
            <v>0</v>
          </cell>
          <cell r="G20">
            <v>889.2</v>
          </cell>
        </row>
        <row r="21">
          <cell r="B21">
            <v>100070</v>
          </cell>
          <cell r="C21" t="str">
            <v>Guillen, Magno</v>
          </cell>
          <cell r="D21">
            <v>889.2</v>
          </cell>
          <cell r="E21">
            <v>0</v>
          </cell>
          <cell r="F21">
            <v>0</v>
          </cell>
          <cell r="G21">
            <v>889.2</v>
          </cell>
        </row>
        <row r="22">
          <cell r="B22">
            <v>100042</v>
          </cell>
          <cell r="C22" t="str">
            <v>Iftikhar, Asim</v>
          </cell>
          <cell r="D22">
            <v>1778.4</v>
          </cell>
          <cell r="E22">
            <v>0</v>
          </cell>
          <cell r="F22">
            <v>0</v>
          </cell>
          <cell r="G22">
            <v>1778.4</v>
          </cell>
        </row>
        <row r="23">
          <cell r="B23">
            <v>100039</v>
          </cell>
          <cell r="C23" t="str">
            <v>Minshew, Mark</v>
          </cell>
          <cell r="D23">
            <v>355.68</v>
          </cell>
          <cell r="E23">
            <v>0</v>
          </cell>
          <cell r="F23">
            <v>0</v>
          </cell>
          <cell r="G23">
            <v>355.68</v>
          </cell>
        </row>
        <row r="24">
          <cell r="B24">
            <v>100036</v>
          </cell>
          <cell r="C24" t="str">
            <v>Echeverria, Amanda</v>
          </cell>
          <cell r="D24">
            <v>889.2</v>
          </cell>
          <cell r="E24">
            <v>0</v>
          </cell>
          <cell r="F24">
            <v>0</v>
          </cell>
          <cell r="G24">
            <v>889.2</v>
          </cell>
        </row>
        <row r="25">
          <cell r="B25">
            <v>100203</v>
          </cell>
          <cell r="C25" t="str">
            <v>Ziraba, Ola</v>
          </cell>
          <cell r="D25">
            <v>889.2</v>
          </cell>
          <cell r="E25">
            <v>0</v>
          </cell>
          <cell r="F25">
            <v>0</v>
          </cell>
          <cell r="G25">
            <v>889.2</v>
          </cell>
        </row>
        <row r="26">
          <cell r="B26">
            <v>621138</v>
          </cell>
          <cell r="C26" t="str">
            <v>Cofer, Michelle</v>
          </cell>
          <cell r="D26">
            <v>213.41</v>
          </cell>
          <cell r="E26">
            <v>0</v>
          </cell>
          <cell r="F26">
            <v>0</v>
          </cell>
          <cell r="G26">
            <v>213.41</v>
          </cell>
        </row>
        <row r="27">
          <cell r="B27">
            <v>100385</v>
          </cell>
          <cell r="C27" t="str">
            <v>Amaya, Nelson</v>
          </cell>
          <cell r="D27">
            <v>889.2</v>
          </cell>
          <cell r="E27">
            <v>0</v>
          </cell>
          <cell r="F27">
            <v>0</v>
          </cell>
          <cell r="G27">
            <v>889.2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aws"/>
      <sheetName val="Loan 9 (3)"/>
      <sheetName val="Loan 1"/>
      <sheetName val="Loan 2 (2)"/>
      <sheetName val="Loan 2"/>
      <sheetName val="Loan 3"/>
      <sheetName val="Sheet1"/>
      <sheetName val="Loan 4"/>
      <sheetName val="Loan 5"/>
      <sheetName val="INTEREST"/>
      <sheetName val="Loan 6 (2)"/>
      <sheetName val="Loan 6"/>
      <sheetName val="Loan 4 (2)"/>
      <sheetName val="Loan 9"/>
      <sheetName val="Loan 7 (2)"/>
      <sheetName val="Loan 7"/>
      <sheetName val="Sheet5"/>
      <sheetName val="Loan 8"/>
      <sheetName val="Loan 9 (2)"/>
      <sheetName val="Sheet2"/>
      <sheetName val="Loan 10"/>
      <sheetName val="Loan 11 (2)"/>
      <sheetName val="Loan 11"/>
      <sheetName val="Loan 12"/>
      <sheetName val="Sheet3"/>
      <sheetName val="12 31 2016 (2)"/>
      <sheetName val="022817"/>
      <sheetName val="All"/>
      <sheetName val="1219 (2)"/>
      <sheetName val="12302020 (2)"/>
      <sheetName val="123121"/>
      <sheetName val="1119"/>
      <sheetName val="1019"/>
      <sheetName val="0919"/>
      <sheetName val="LDC FEE"/>
      <sheetName val="053118"/>
      <sheetName val="Sheet15"/>
      <sheetName val="123117"/>
      <sheetName val="093017"/>
      <sheetName val="053117 "/>
      <sheetName val="033117 (2)"/>
      <sheetName val="033117"/>
      <sheetName val="12 31 2016"/>
      <sheetName val="10 31 2016   "/>
      <sheetName val="09 30 2016  "/>
      <sheetName val="08 31 2016 "/>
      <sheetName val="07 31 2016 (2)"/>
      <sheetName val="06 30 2016"/>
      <sheetName val="Sheet4 (3)"/>
      <sheetName val="Sheet4"/>
      <sheetName val="Sheet14"/>
      <sheetName val="Sheet4 (2)"/>
      <sheetName val="Sheet6"/>
      <sheetName val="Sheet7"/>
      <sheetName val="Sheet8"/>
      <sheetName val="Sheet9"/>
      <sheetName val="Sheet10"/>
      <sheetName val="Sheet11"/>
      <sheetName val="Sheet12"/>
      <sheetName val="Sheet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9">
          <cell r="C39">
            <v>5298.55</v>
          </cell>
        </row>
      </sheetData>
      <sheetData sheetId="5" refreshError="1"/>
      <sheetData sheetId="6" refreshError="1"/>
      <sheetData sheetId="7" refreshError="1">
        <row r="38">
          <cell r="C38">
            <v>114061.28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C36">
            <v>124584.76</v>
          </cell>
        </row>
      </sheetData>
      <sheetData sheetId="14" refreshError="1"/>
      <sheetData sheetId="15" refreshError="1">
        <row r="59">
          <cell r="C59">
            <v>65292.27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>
        <row r="48">
          <cell r="C48">
            <v>52180.9</v>
          </cell>
        </row>
      </sheetData>
      <sheetData sheetId="21" refreshError="1"/>
      <sheetData sheetId="22" refreshError="1">
        <row r="32">
          <cell r="C32">
            <v>117154.67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126"/>
  <sheetViews>
    <sheetView zoomScale="85" zoomScaleNormal="85" workbookViewId="0">
      <selection activeCell="O14" sqref="O14"/>
    </sheetView>
  </sheetViews>
  <sheetFormatPr defaultColWidth="9" defaultRowHeight="14.4"/>
  <cols>
    <col min="1" max="1" width="7.88671875" customWidth="1"/>
    <col min="2" max="2" width="23.44140625" customWidth="1"/>
    <col min="3" max="3" width="16" customWidth="1"/>
    <col min="4" max="4" width="32.6640625" customWidth="1"/>
    <col min="5" max="5" width="15" customWidth="1"/>
    <col min="6" max="6" width="10.6640625" customWidth="1"/>
    <col min="7" max="8" width="11.109375" customWidth="1"/>
    <col min="9" max="9" width="11.109375" style="71" customWidth="1"/>
    <col min="10" max="11" width="13" customWidth="1"/>
    <col min="12" max="12" width="12.6640625" customWidth="1"/>
    <col min="13" max="13" width="12.44140625" customWidth="1"/>
    <col min="14" max="14" width="12.88671875" customWidth="1"/>
    <col min="15" max="15" width="14.33203125" customWidth="1"/>
    <col min="16" max="16" width="14" customWidth="1"/>
    <col min="17" max="17" width="11.44140625" customWidth="1"/>
    <col min="18" max="18" width="24.44140625" customWidth="1"/>
    <col min="19" max="19" width="37.6640625" hidden="1" customWidth="1"/>
    <col min="20" max="20" width="15.109375" customWidth="1"/>
    <col min="21" max="21" width="10.33203125" customWidth="1"/>
  </cols>
  <sheetData>
    <row r="1" spans="1:21" ht="43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9" t="s">
        <v>16</v>
      </c>
      <c r="R1" s="9" t="s">
        <v>17</v>
      </c>
      <c r="S1" s="149" t="s">
        <v>18</v>
      </c>
    </row>
    <row r="2" spans="1:21">
      <c r="A2" s="4">
        <v>100036</v>
      </c>
      <c r="B2" s="4" t="s">
        <v>19</v>
      </c>
      <c r="C2" s="4" t="s">
        <v>20</v>
      </c>
      <c r="D2" s="4" t="s">
        <v>21</v>
      </c>
      <c r="E2" s="5">
        <v>50000</v>
      </c>
      <c r="F2" s="6">
        <v>44252</v>
      </c>
      <c r="G2" s="6">
        <v>44378</v>
      </c>
      <c r="H2" s="74">
        <v>889.2</v>
      </c>
      <c r="I2" s="3">
        <v>889.2</v>
      </c>
      <c r="J2" s="3">
        <f>VLOOKUP(A2,'[1]paymentsExport (1)'!$B$2:$G$27,6,0)</f>
        <v>889.2</v>
      </c>
      <c r="K2" s="7">
        <v>889.2</v>
      </c>
      <c r="L2" s="7">
        <v>889.2</v>
      </c>
      <c r="M2" s="7">
        <v>889.2</v>
      </c>
      <c r="N2" s="7">
        <v>889.2</v>
      </c>
      <c r="O2" s="7">
        <f t="shared" ref="O2:O49" si="0">SUM(I2:N2)</f>
        <v>5335.2</v>
      </c>
      <c r="P2" s="7">
        <f>E2-I2-J2-K2-L2-M2-N2</f>
        <v>44664.800000000017</v>
      </c>
      <c r="Q2" s="15" t="str">
        <f>IF(R2=0,"Current","Not Current")</f>
        <v>Current</v>
      </c>
      <c r="R2" s="150">
        <f t="shared" ref="R2:R21" si="1">H2*6-(I2+J2+K2+L2+M2+N2)</f>
        <v>0</v>
      </c>
      <c r="S2" s="15"/>
      <c r="U2" s="10"/>
    </row>
    <row r="3" spans="1:21">
      <c r="A3" s="4">
        <v>100039</v>
      </c>
      <c r="B3" s="4" t="s">
        <v>22</v>
      </c>
      <c r="C3" s="4" t="s">
        <v>23</v>
      </c>
      <c r="D3" s="120" t="s">
        <v>24</v>
      </c>
      <c r="E3" s="5">
        <v>20000</v>
      </c>
      <c r="F3" s="6">
        <v>44252</v>
      </c>
      <c r="G3" s="6">
        <v>44378</v>
      </c>
      <c r="H3" s="74">
        <v>355.68</v>
      </c>
      <c r="I3" s="3">
        <v>355.68</v>
      </c>
      <c r="J3" s="3">
        <f>VLOOKUP(A3,'[1]paymentsExport (1)'!$B$2:$G$27,6,0)</f>
        <v>355.68</v>
      </c>
      <c r="K3" s="7">
        <v>355.68</v>
      </c>
      <c r="L3" s="7">
        <v>355.68</v>
      </c>
      <c r="M3" s="7">
        <v>355.68</v>
      </c>
      <c r="N3" s="7">
        <v>355.68</v>
      </c>
      <c r="O3" s="7">
        <f t="shared" si="0"/>
        <v>2134.08</v>
      </c>
      <c r="P3" s="7">
        <f t="shared" ref="P3:P13" si="2">E3-I3-J3-K3-L3-M3-N3</f>
        <v>17865.919999999998</v>
      </c>
      <c r="Q3" s="15" t="str">
        <f>IF(R3=0,"Current","Not Current")</f>
        <v>Current</v>
      </c>
      <c r="R3" s="150">
        <f t="shared" si="1"/>
        <v>0</v>
      </c>
      <c r="S3" s="15"/>
      <c r="U3" s="10"/>
    </row>
    <row r="4" spans="1:21">
      <c r="A4" s="4">
        <v>100203</v>
      </c>
      <c r="B4" s="4" t="s">
        <v>25</v>
      </c>
      <c r="C4" s="4" t="s">
        <v>26</v>
      </c>
      <c r="D4" s="4" t="s">
        <v>27</v>
      </c>
      <c r="E4" s="5">
        <v>50000</v>
      </c>
      <c r="F4" s="6">
        <v>44273</v>
      </c>
      <c r="G4" s="6">
        <v>44378</v>
      </c>
      <c r="H4" s="74">
        <v>889.2</v>
      </c>
      <c r="I4" s="3">
        <v>889.2</v>
      </c>
      <c r="J4" s="3">
        <f>VLOOKUP(A4,'[1]paymentsExport (1)'!$B$2:$G$27,6,0)</f>
        <v>889.2</v>
      </c>
      <c r="K4" s="7">
        <v>889.2</v>
      </c>
      <c r="L4" s="7">
        <v>889.2</v>
      </c>
      <c r="M4" s="7">
        <v>889.2</v>
      </c>
      <c r="N4" s="7">
        <v>889.2</v>
      </c>
      <c r="O4" s="7">
        <f t="shared" si="0"/>
        <v>5335.2</v>
      </c>
      <c r="P4" s="7">
        <f t="shared" si="2"/>
        <v>44664.800000000017</v>
      </c>
      <c r="Q4" s="15" t="str">
        <f>IF(R4=0,"Current","Not Current")</f>
        <v>Current</v>
      </c>
      <c r="R4" s="150">
        <f t="shared" si="1"/>
        <v>0</v>
      </c>
      <c r="S4" s="15"/>
      <c r="U4" s="10"/>
    </row>
    <row r="5" spans="1:21">
      <c r="A5" s="4">
        <v>100206</v>
      </c>
      <c r="B5" s="4" t="s">
        <v>28</v>
      </c>
      <c r="C5" s="4" t="s">
        <v>29</v>
      </c>
      <c r="D5" s="4" t="s">
        <v>30</v>
      </c>
      <c r="E5" s="5">
        <v>6000</v>
      </c>
      <c r="F5" s="6">
        <v>44252</v>
      </c>
      <c r="G5" s="6">
        <v>44378</v>
      </c>
      <c r="H5" s="74">
        <v>106.7</v>
      </c>
      <c r="I5" s="4"/>
      <c r="J5" s="3">
        <v>106.7</v>
      </c>
      <c r="K5" s="7">
        <v>106.7</v>
      </c>
      <c r="L5" s="7">
        <v>106.7</v>
      </c>
      <c r="M5" s="7">
        <f>106.7+106.7</f>
        <v>213.4</v>
      </c>
      <c r="N5" s="7">
        <v>106.7</v>
      </c>
      <c r="O5" s="7">
        <f t="shared" si="0"/>
        <v>640.20000000000005</v>
      </c>
      <c r="P5" s="7">
        <f t="shared" si="2"/>
        <v>5359.8000000000011</v>
      </c>
      <c r="Q5" s="4" t="str">
        <f>IF(R5=0,"Current","Not Current")</f>
        <v>Current</v>
      </c>
      <c r="R5" s="150">
        <f t="shared" si="1"/>
        <v>0</v>
      </c>
      <c r="S5" s="15" t="s">
        <v>31</v>
      </c>
      <c r="U5" s="10"/>
    </row>
    <row r="6" spans="1:21">
      <c r="A6" s="4">
        <v>100251</v>
      </c>
      <c r="B6" s="4" t="s">
        <v>22</v>
      </c>
      <c r="C6" s="4" t="s">
        <v>32</v>
      </c>
      <c r="D6" s="4" t="s">
        <v>33</v>
      </c>
      <c r="E6" s="5">
        <v>50000</v>
      </c>
      <c r="F6" s="6">
        <v>44252</v>
      </c>
      <c r="G6" s="6">
        <v>44378</v>
      </c>
      <c r="H6" s="74">
        <v>889.2</v>
      </c>
      <c r="I6" s="3">
        <v>889.2</v>
      </c>
      <c r="J6" s="3">
        <v>899.2</v>
      </c>
      <c r="K6" s="7">
        <v>889.2</v>
      </c>
      <c r="L6" s="7">
        <v>889.2</v>
      </c>
      <c r="M6" s="7">
        <v>889.2</v>
      </c>
      <c r="N6" s="7">
        <v>889.2</v>
      </c>
      <c r="O6" s="7">
        <f t="shared" si="0"/>
        <v>5345.2</v>
      </c>
      <c r="P6" s="7">
        <f t="shared" si="2"/>
        <v>44654.800000000017</v>
      </c>
      <c r="Q6" s="15" t="s">
        <v>34</v>
      </c>
      <c r="R6" s="150">
        <f t="shared" si="1"/>
        <v>-9.9999999999990905</v>
      </c>
      <c r="S6" s="15" t="s">
        <v>35</v>
      </c>
      <c r="U6" s="10"/>
    </row>
    <row r="7" spans="1:21">
      <c r="A7" s="4">
        <v>100269</v>
      </c>
      <c r="B7" s="4" t="s">
        <v>36</v>
      </c>
      <c r="C7" s="4" t="s">
        <v>37</v>
      </c>
      <c r="D7" s="4" t="s">
        <v>38</v>
      </c>
      <c r="E7" s="5">
        <v>12000</v>
      </c>
      <c r="F7" s="6">
        <v>44252</v>
      </c>
      <c r="G7" s="6">
        <v>44378</v>
      </c>
      <c r="H7" s="74">
        <v>213.41</v>
      </c>
      <c r="I7" s="3">
        <v>213.41</v>
      </c>
      <c r="J7" s="4"/>
      <c r="K7" s="7"/>
      <c r="L7" s="7">
        <v>213.41</v>
      </c>
      <c r="M7" s="7">
        <f>213.41+213.41+213.41</f>
        <v>640.23</v>
      </c>
      <c r="N7" s="129"/>
      <c r="O7" s="7">
        <f t="shared" si="0"/>
        <v>1067.05</v>
      </c>
      <c r="P7" s="7">
        <f t="shared" si="2"/>
        <v>10932.95</v>
      </c>
      <c r="Q7" s="151" t="str">
        <f>IF(R7=0,"Current","Not Current")</f>
        <v>Not Current</v>
      </c>
      <c r="R7" s="150">
        <f t="shared" si="1"/>
        <v>213.41000000000008</v>
      </c>
      <c r="S7" s="15" t="s">
        <v>39</v>
      </c>
      <c r="U7" s="10"/>
    </row>
    <row r="8" spans="1:21">
      <c r="A8" s="4">
        <v>100310</v>
      </c>
      <c r="B8" s="4" t="s">
        <v>40</v>
      </c>
      <c r="C8" s="4" t="s">
        <v>41</v>
      </c>
      <c r="D8" s="4" t="s">
        <v>42</v>
      </c>
      <c r="E8" s="5">
        <v>50000</v>
      </c>
      <c r="F8" s="6">
        <v>44252</v>
      </c>
      <c r="G8" s="6">
        <v>44378</v>
      </c>
      <c r="H8" s="74">
        <v>889.2</v>
      </c>
      <c r="I8" s="3">
        <v>889.2</v>
      </c>
      <c r="J8" s="3">
        <v>889.2</v>
      </c>
      <c r="K8" s="7">
        <v>889.2</v>
      </c>
      <c r="L8" s="7">
        <v>889.2</v>
      </c>
      <c r="M8" s="7">
        <v>889.2</v>
      </c>
      <c r="N8" s="7">
        <v>889.2</v>
      </c>
      <c r="O8" s="7">
        <f t="shared" si="0"/>
        <v>5335.2</v>
      </c>
      <c r="P8" s="7">
        <f t="shared" si="2"/>
        <v>44664.800000000017</v>
      </c>
      <c r="Q8" s="15" t="str">
        <f t="shared" ref="Q8:Q21" si="3">IF(R8=0,"Current","Not Current")</f>
        <v>Current</v>
      </c>
      <c r="R8" s="150">
        <f t="shared" si="1"/>
        <v>0</v>
      </c>
      <c r="S8" s="15"/>
      <c r="U8" s="10"/>
    </row>
    <row r="9" spans="1:21">
      <c r="A9" s="4">
        <v>100385</v>
      </c>
      <c r="B9" s="4" t="s">
        <v>43</v>
      </c>
      <c r="C9" s="4" t="s">
        <v>44</v>
      </c>
      <c r="D9" s="4" t="s">
        <v>45</v>
      </c>
      <c r="E9" s="5">
        <v>50000</v>
      </c>
      <c r="F9" s="6">
        <v>44252</v>
      </c>
      <c r="G9" s="6">
        <v>44378</v>
      </c>
      <c r="H9" s="74">
        <v>889.2</v>
      </c>
      <c r="I9" s="3">
        <v>889.2</v>
      </c>
      <c r="J9" s="3">
        <f>VLOOKUP(A9,'[1]paymentsExport (1)'!$B$2:$G$27,6,0)</f>
        <v>889.2</v>
      </c>
      <c r="K9" s="7">
        <v>889.2</v>
      </c>
      <c r="L9" s="7">
        <v>889.2</v>
      </c>
      <c r="M9" s="7">
        <v>889.2</v>
      </c>
      <c r="N9" s="7">
        <v>889.2</v>
      </c>
      <c r="O9" s="7">
        <f t="shared" si="0"/>
        <v>5335.2</v>
      </c>
      <c r="P9" s="7">
        <f t="shared" si="2"/>
        <v>44664.800000000017</v>
      </c>
      <c r="Q9" s="15" t="str">
        <f t="shared" si="3"/>
        <v>Current</v>
      </c>
      <c r="R9" s="150">
        <f t="shared" si="1"/>
        <v>0</v>
      </c>
      <c r="S9" s="15"/>
      <c r="U9" s="10"/>
    </row>
    <row r="10" spans="1:21">
      <c r="A10" s="4">
        <v>100422</v>
      </c>
      <c r="B10" s="4" t="s">
        <v>46</v>
      </c>
      <c r="C10" s="4" t="s">
        <v>47</v>
      </c>
      <c r="D10" s="4" t="s">
        <v>48</v>
      </c>
      <c r="E10" s="5">
        <v>45000</v>
      </c>
      <c r="F10" s="6">
        <v>44252</v>
      </c>
      <c r="G10" s="6">
        <v>44378</v>
      </c>
      <c r="H10" s="74">
        <v>800.28</v>
      </c>
      <c r="I10" s="3">
        <v>800.28</v>
      </c>
      <c r="J10" s="3">
        <v>800.28</v>
      </c>
      <c r="K10" s="7">
        <v>800.28</v>
      </c>
      <c r="L10" s="7">
        <v>800.28</v>
      </c>
      <c r="M10" s="7">
        <v>800.28</v>
      </c>
      <c r="N10" s="7">
        <v>800.28</v>
      </c>
      <c r="O10" s="7">
        <f t="shared" si="0"/>
        <v>4801.6799999999994</v>
      </c>
      <c r="P10" s="7">
        <f t="shared" si="2"/>
        <v>40198.320000000007</v>
      </c>
      <c r="Q10" s="15" t="str">
        <f t="shared" si="3"/>
        <v>Current</v>
      </c>
      <c r="R10" s="150">
        <f t="shared" si="1"/>
        <v>0</v>
      </c>
      <c r="S10" s="15"/>
      <c r="U10" s="10"/>
    </row>
    <row r="11" spans="1:21">
      <c r="A11" s="4">
        <v>100037</v>
      </c>
      <c r="B11" s="4" t="s">
        <v>49</v>
      </c>
      <c r="C11" s="4" t="s">
        <v>50</v>
      </c>
      <c r="D11" s="4" t="s">
        <v>51</v>
      </c>
      <c r="E11" s="5">
        <v>32000</v>
      </c>
      <c r="F11" s="6">
        <v>44259</v>
      </c>
      <c r="G11" s="6">
        <v>44378</v>
      </c>
      <c r="H11" s="74">
        <v>569.09</v>
      </c>
      <c r="I11" s="3">
        <v>569.09</v>
      </c>
      <c r="J11" s="3">
        <v>569.09</v>
      </c>
      <c r="K11" s="7">
        <v>569.09</v>
      </c>
      <c r="L11" s="7">
        <v>569.09</v>
      </c>
      <c r="M11" s="7">
        <v>569.09</v>
      </c>
      <c r="N11" s="7">
        <v>569.09</v>
      </c>
      <c r="O11" s="7">
        <f t="shared" si="0"/>
        <v>3414.5400000000004</v>
      </c>
      <c r="P11" s="7">
        <f t="shared" si="2"/>
        <v>28585.46</v>
      </c>
      <c r="Q11" s="15" t="str">
        <f t="shared" si="3"/>
        <v>Current</v>
      </c>
      <c r="R11" s="150">
        <f t="shared" si="1"/>
        <v>0</v>
      </c>
      <c r="S11" s="15"/>
      <c r="U11" s="10"/>
    </row>
    <row r="12" spans="1:21">
      <c r="A12" s="4">
        <v>100047</v>
      </c>
      <c r="B12" s="4" t="s">
        <v>52</v>
      </c>
      <c r="C12" s="4" t="s">
        <v>53</v>
      </c>
      <c r="D12" s="4" t="s">
        <v>54</v>
      </c>
      <c r="E12" s="5">
        <v>20000</v>
      </c>
      <c r="F12" s="6">
        <v>44259</v>
      </c>
      <c r="G12" s="6">
        <v>44378</v>
      </c>
      <c r="H12" s="74">
        <v>355.68</v>
      </c>
      <c r="I12" s="3">
        <v>355.68</v>
      </c>
      <c r="J12" s="3">
        <v>355.68</v>
      </c>
      <c r="K12" s="7">
        <v>355.68</v>
      </c>
      <c r="L12" s="7">
        <v>355.68</v>
      </c>
      <c r="M12" s="7">
        <v>355.68</v>
      </c>
      <c r="N12" s="7">
        <v>355.68</v>
      </c>
      <c r="O12" s="7">
        <f t="shared" si="0"/>
        <v>2134.08</v>
      </c>
      <c r="P12" s="7">
        <f t="shared" si="2"/>
        <v>17865.919999999998</v>
      </c>
      <c r="Q12" s="15" t="str">
        <f t="shared" si="3"/>
        <v>Current</v>
      </c>
      <c r="R12" s="150">
        <f t="shared" si="1"/>
        <v>0</v>
      </c>
      <c r="S12" s="15"/>
      <c r="U12" s="10"/>
    </row>
    <row r="13" spans="1:21">
      <c r="A13" s="4">
        <v>100070</v>
      </c>
      <c r="B13" s="4" t="s">
        <v>55</v>
      </c>
      <c r="C13" s="4" t="s">
        <v>56</v>
      </c>
      <c r="D13" s="4" t="s">
        <v>57</v>
      </c>
      <c r="E13" s="5">
        <v>50000</v>
      </c>
      <c r="F13" s="6">
        <v>44271</v>
      </c>
      <c r="G13" s="6">
        <v>44378</v>
      </c>
      <c r="H13" s="74">
        <v>889.2</v>
      </c>
      <c r="I13" s="3">
        <v>889.2</v>
      </c>
      <c r="J13" s="3">
        <f>VLOOKUP(A13,'[1]paymentsExport (1)'!$B$2:$G$27,6,0)</f>
        <v>889.2</v>
      </c>
      <c r="K13" s="3">
        <v>889.2</v>
      </c>
      <c r="L13" s="7">
        <v>889.2</v>
      </c>
      <c r="M13" s="7">
        <v>889.2</v>
      </c>
      <c r="N13" s="7">
        <v>889.2</v>
      </c>
      <c r="O13" s="7">
        <f t="shared" si="0"/>
        <v>5335.2</v>
      </c>
      <c r="P13" s="7">
        <f t="shared" si="2"/>
        <v>44664.800000000017</v>
      </c>
      <c r="Q13" s="15" t="str">
        <f t="shared" si="3"/>
        <v>Current</v>
      </c>
      <c r="R13" s="150">
        <f t="shared" si="1"/>
        <v>0</v>
      </c>
      <c r="S13" s="15"/>
      <c r="U13" s="10"/>
    </row>
    <row r="14" spans="1:21">
      <c r="A14" s="121">
        <v>100074</v>
      </c>
      <c r="B14" s="121" t="s">
        <v>58</v>
      </c>
      <c r="C14" s="121" t="s">
        <v>59</v>
      </c>
      <c r="D14" s="121" t="s">
        <v>60</v>
      </c>
      <c r="E14" s="122">
        <v>50000</v>
      </c>
      <c r="F14" s="123">
        <v>44271</v>
      </c>
      <c r="G14" s="123">
        <v>44378</v>
      </c>
      <c r="H14" s="124">
        <v>889.2</v>
      </c>
      <c r="I14" s="130">
        <v>889.2</v>
      </c>
      <c r="J14" s="130">
        <f>VLOOKUP(A14,'[1]paymentsExport (1)'!$B$2:$G$27,6,0)</f>
        <v>889.2</v>
      </c>
      <c r="K14" s="124"/>
      <c r="L14" s="124"/>
      <c r="M14" s="124"/>
      <c r="N14" s="124"/>
      <c r="O14" s="124">
        <f t="shared" si="0"/>
        <v>1778.4</v>
      </c>
      <c r="P14" s="124">
        <f t="shared" ref="P14:P21" si="4">E14-I14-J14-K14-L14-M14-N14</f>
        <v>48221.600000000006</v>
      </c>
      <c r="Q14" s="121" t="str">
        <f t="shared" si="3"/>
        <v>Not Current</v>
      </c>
      <c r="R14" s="130">
        <f t="shared" si="1"/>
        <v>3556.8000000000006</v>
      </c>
      <c r="S14" s="4" t="s">
        <v>61</v>
      </c>
      <c r="U14" s="10"/>
    </row>
    <row r="15" spans="1:21">
      <c r="A15" s="4">
        <v>100109</v>
      </c>
      <c r="B15" s="4" t="s">
        <v>62</v>
      </c>
      <c r="C15" s="4" t="s">
        <v>63</v>
      </c>
      <c r="D15" s="4" t="s">
        <v>64</v>
      </c>
      <c r="E15" s="5">
        <v>50000</v>
      </c>
      <c r="F15" s="6">
        <v>44259</v>
      </c>
      <c r="G15" s="6">
        <v>44378</v>
      </c>
      <c r="H15" s="74">
        <v>889.2</v>
      </c>
      <c r="I15" s="3">
        <v>889.2</v>
      </c>
      <c r="J15" s="3">
        <f>VLOOKUP(A15,'[1]paymentsExport (1)'!$B$2:$G$27,6,0)</f>
        <v>889.2</v>
      </c>
      <c r="K15" s="7">
        <v>889.2</v>
      </c>
      <c r="L15" s="7">
        <v>889.2</v>
      </c>
      <c r="M15" s="7">
        <v>889.2</v>
      </c>
      <c r="N15" s="7">
        <v>889.2</v>
      </c>
      <c r="O15" s="7">
        <f t="shared" si="0"/>
        <v>5335.2</v>
      </c>
      <c r="P15" s="7">
        <f t="shared" si="4"/>
        <v>44664.800000000017</v>
      </c>
      <c r="Q15" s="15" t="str">
        <f t="shared" si="3"/>
        <v>Current</v>
      </c>
      <c r="R15" s="150">
        <f t="shared" si="1"/>
        <v>0</v>
      </c>
      <c r="S15" s="15"/>
      <c r="U15" s="10"/>
    </row>
    <row r="16" spans="1:21">
      <c r="A16" s="4">
        <v>100139</v>
      </c>
      <c r="B16" s="4" t="s">
        <v>65</v>
      </c>
      <c r="C16" s="4" t="s">
        <v>66</v>
      </c>
      <c r="D16" s="4" t="s">
        <v>67</v>
      </c>
      <c r="E16" s="5">
        <v>50000</v>
      </c>
      <c r="F16" s="6">
        <v>44259</v>
      </c>
      <c r="G16" s="6">
        <v>44378</v>
      </c>
      <c r="H16" s="74">
        <v>889.2</v>
      </c>
      <c r="I16" s="3">
        <v>889.2</v>
      </c>
      <c r="J16" s="3">
        <f>VLOOKUP(A16,'[1]paymentsExport (1)'!$B$2:$G$27,6,0)</f>
        <v>889.2</v>
      </c>
      <c r="K16" s="7">
        <v>889.2</v>
      </c>
      <c r="L16" s="7">
        <v>889.2</v>
      </c>
      <c r="M16" s="7">
        <v>889.2</v>
      </c>
      <c r="N16" s="7">
        <v>889.2</v>
      </c>
      <c r="O16" s="7">
        <f t="shared" si="0"/>
        <v>5335.2</v>
      </c>
      <c r="P16" s="7">
        <f t="shared" si="4"/>
        <v>44664.800000000017</v>
      </c>
      <c r="Q16" s="15" t="str">
        <f t="shared" si="3"/>
        <v>Current</v>
      </c>
      <c r="R16" s="150">
        <f t="shared" si="1"/>
        <v>0</v>
      </c>
      <c r="S16" s="15"/>
      <c r="U16" s="10"/>
    </row>
    <row r="17" spans="1:21">
      <c r="A17" s="4">
        <v>100154</v>
      </c>
      <c r="B17" s="4" t="s">
        <v>68</v>
      </c>
      <c r="C17" s="4" t="s">
        <v>69</v>
      </c>
      <c r="D17" s="125" t="s">
        <v>70</v>
      </c>
      <c r="E17" s="5">
        <v>20000</v>
      </c>
      <c r="F17" s="6">
        <v>44259</v>
      </c>
      <c r="G17" s="6">
        <v>44378</v>
      </c>
      <c r="H17" s="74">
        <v>355.68</v>
      </c>
      <c r="I17" s="3"/>
      <c r="J17" s="3">
        <f>VLOOKUP(A17,'[1]paymentsExport (1)'!$B$2:$G$27,6,0)</f>
        <v>355.68</v>
      </c>
      <c r="K17" s="7">
        <v>355.68</v>
      </c>
      <c r="L17" s="7">
        <v>355.68</v>
      </c>
      <c r="M17" s="7">
        <f>355.68+355.68</f>
        <v>711.36</v>
      </c>
      <c r="N17" s="7">
        <v>355.68</v>
      </c>
      <c r="O17" s="7">
        <f t="shared" si="0"/>
        <v>2134.08</v>
      </c>
      <c r="P17" s="7">
        <f t="shared" si="4"/>
        <v>17865.919999999998</v>
      </c>
      <c r="Q17" s="4" t="str">
        <f t="shared" si="3"/>
        <v>Current</v>
      </c>
      <c r="R17" s="150">
        <f t="shared" si="1"/>
        <v>0</v>
      </c>
      <c r="S17" s="15" t="s">
        <v>39</v>
      </c>
      <c r="U17" s="10"/>
    </row>
    <row r="18" spans="1:21">
      <c r="A18" s="4">
        <v>100159</v>
      </c>
      <c r="B18" s="4" t="s">
        <v>71</v>
      </c>
      <c r="C18" s="4" t="s">
        <v>72</v>
      </c>
      <c r="D18" s="120" t="s">
        <v>73</v>
      </c>
      <c r="E18" s="5">
        <v>50000</v>
      </c>
      <c r="F18" s="6">
        <v>44259</v>
      </c>
      <c r="G18" s="6">
        <v>44378</v>
      </c>
      <c r="H18" s="74">
        <v>889.2</v>
      </c>
      <c r="I18" s="3">
        <v>889.2</v>
      </c>
      <c r="J18" s="3">
        <v>889.2</v>
      </c>
      <c r="K18" s="7">
        <v>889.2</v>
      </c>
      <c r="L18" s="7">
        <v>889.2</v>
      </c>
      <c r="M18" s="7">
        <v>889.2</v>
      </c>
      <c r="N18" s="7">
        <v>889.2</v>
      </c>
      <c r="O18" s="7">
        <f t="shared" si="0"/>
        <v>5335.2</v>
      </c>
      <c r="P18" s="7">
        <f t="shared" si="4"/>
        <v>44664.800000000017</v>
      </c>
      <c r="Q18" s="15" t="str">
        <f t="shared" si="3"/>
        <v>Current</v>
      </c>
      <c r="R18" s="150">
        <f t="shared" si="1"/>
        <v>0</v>
      </c>
      <c r="S18" s="15"/>
      <c r="U18" s="10"/>
    </row>
    <row r="19" spans="1:21">
      <c r="A19" s="4">
        <v>100226</v>
      </c>
      <c r="B19" s="4" t="s">
        <v>74</v>
      </c>
      <c r="C19" s="4" t="s">
        <v>75</v>
      </c>
      <c r="D19" s="4" t="s">
        <v>76</v>
      </c>
      <c r="E19" s="5">
        <v>20000</v>
      </c>
      <c r="F19" s="6">
        <v>44259</v>
      </c>
      <c r="G19" s="6">
        <v>44378</v>
      </c>
      <c r="H19" s="74">
        <v>355.68</v>
      </c>
      <c r="I19" s="3">
        <v>355.68</v>
      </c>
      <c r="J19" s="17"/>
      <c r="K19" s="7">
        <v>355.68</v>
      </c>
      <c r="L19" s="7">
        <v>355.68</v>
      </c>
      <c r="M19" s="129"/>
      <c r="N19" s="131">
        <v>355.68</v>
      </c>
      <c r="O19" s="7">
        <f t="shared" si="0"/>
        <v>1422.72</v>
      </c>
      <c r="P19" s="7">
        <f t="shared" si="4"/>
        <v>18577.28</v>
      </c>
      <c r="Q19" s="151" t="str">
        <f t="shared" si="3"/>
        <v>Not Current</v>
      </c>
      <c r="R19" s="150" t="s">
        <v>77</v>
      </c>
      <c r="S19" s="152" t="s">
        <v>78</v>
      </c>
      <c r="U19" s="10"/>
    </row>
    <row r="20" spans="1:21">
      <c r="A20" s="4">
        <v>100175</v>
      </c>
      <c r="B20" s="4" t="s">
        <v>79</v>
      </c>
      <c r="C20" s="4" t="s">
        <v>80</v>
      </c>
      <c r="D20" s="4" t="s">
        <v>81</v>
      </c>
      <c r="E20" s="5">
        <v>10000</v>
      </c>
      <c r="F20" s="6">
        <v>44273</v>
      </c>
      <c r="G20" s="6">
        <v>44378</v>
      </c>
      <c r="H20" s="74">
        <v>177.84</v>
      </c>
      <c r="I20" s="4"/>
      <c r="J20" s="3">
        <f>VLOOKUP(A20,'[1]paymentsExport (1)'!$B$2:$G$27,6,0)</f>
        <v>355.68</v>
      </c>
      <c r="K20" s="3">
        <v>177.84</v>
      </c>
      <c r="L20" s="7">
        <v>177.84</v>
      </c>
      <c r="M20" s="7">
        <v>177.84</v>
      </c>
      <c r="N20" s="7">
        <v>177.84</v>
      </c>
      <c r="O20" s="7">
        <f t="shared" si="0"/>
        <v>1067.04</v>
      </c>
      <c r="P20" s="7">
        <f t="shared" si="4"/>
        <v>8932.9599999999991</v>
      </c>
      <c r="Q20" s="15" t="str">
        <f t="shared" si="3"/>
        <v>Current</v>
      </c>
      <c r="R20" s="150">
        <f t="shared" si="1"/>
        <v>0</v>
      </c>
      <c r="S20" s="15"/>
      <c r="U20" s="10"/>
    </row>
    <row r="21" spans="1:21">
      <c r="A21" s="4">
        <v>100309</v>
      </c>
      <c r="B21" s="4" t="s">
        <v>82</v>
      </c>
      <c r="C21" s="4" t="s">
        <v>83</v>
      </c>
      <c r="D21" s="4" t="s">
        <v>84</v>
      </c>
      <c r="E21" s="5">
        <v>15000</v>
      </c>
      <c r="F21" s="6">
        <v>44273</v>
      </c>
      <c r="G21" s="6">
        <v>44378</v>
      </c>
      <c r="H21" s="74">
        <v>266.76</v>
      </c>
      <c r="I21" s="3">
        <v>266.76</v>
      </c>
      <c r="J21" s="3">
        <f>VLOOKUP(A21,'[1]paymentsExport (1)'!$B$2:$G$27,6,0)</f>
        <v>266.76</v>
      </c>
      <c r="K21" s="3">
        <v>266.76</v>
      </c>
      <c r="L21" s="7">
        <v>266.76</v>
      </c>
      <c r="M21" s="7">
        <v>266.76</v>
      </c>
      <c r="N21" s="7">
        <v>266.76</v>
      </c>
      <c r="O21" s="7">
        <f t="shared" si="0"/>
        <v>1600.56</v>
      </c>
      <c r="P21" s="7">
        <f t="shared" si="4"/>
        <v>13399.439999999999</v>
      </c>
      <c r="Q21" s="15" t="str">
        <f t="shared" si="3"/>
        <v>Current</v>
      </c>
      <c r="R21" s="150">
        <f t="shared" si="1"/>
        <v>0</v>
      </c>
      <c r="S21" s="15"/>
      <c r="U21" s="10"/>
    </row>
    <row r="22" spans="1:21">
      <c r="A22" s="4">
        <v>100399</v>
      </c>
      <c r="B22" s="4" t="s">
        <v>85</v>
      </c>
      <c r="C22" s="4" t="s">
        <v>86</v>
      </c>
      <c r="D22" s="4" t="s">
        <v>87</v>
      </c>
      <c r="E22" s="5">
        <v>50000</v>
      </c>
      <c r="F22" s="6">
        <v>44273</v>
      </c>
      <c r="G22" s="6">
        <v>44378</v>
      </c>
      <c r="H22" s="74">
        <v>889.2</v>
      </c>
      <c r="I22" s="4"/>
      <c r="J22" s="3">
        <f>VLOOKUP(A22,'[1]paymentsExport (1)'!$B$2:$G$27,6,0)</f>
        <v>1778.4</v>
      </c>
      <c r="K22" s="3">
        <v>889.2</v>
      </c>
      <c r="L22" s="7">
        <v>47332.4</v>
      </c>
      <c r="M22" s="7"/>
      <c r="N22" s="7"/>
      <c r="O22" s="7">
        <f t="shared" si="0"/>
        <v>50000</v>
      </c>
      <c r="P22" s="7">
        <f>E22-I22-J22-K22-L22</f>
        <v>0</v>
      </c>
      <c r="Q22" s="15" t="s">
        <v>88</v>
      </c>
      <c r="R22" s="150">
        <v>0</v>
      </c>
      <c r="S22" s="15"/>
      <c r="U22" s="10"/>
    </row>
    <row r="23" spans="1:21">
      <c r="A23" s="4">
        <v>100404</v>
      </c>
      <c r="B23" s="4" t="s">
        <v>89</v>
      </c>
      <c r="C23" s="4" t="s">
        <v>90</v>
      </c>
      <c r="D23" s="125" t="s">
        <v>91</v>
      </c>
      <c r="E23" s="5">
        <v>20000</v>
      </c>
      <c r="F23" s="6">
        <v>44273</v>
      </c>
      <c r="G23" s="6">
        <v>44378</v>
      </c>
      <c r="H23" s="74">
        <v>355.68</v>
      </c>
      <c r="I23" s="3">
        <v>355.68</v>
      </c>
      <c r="J23" s="3">
        <f>355.68+335.68</f>
        <v>691.36</v>
      </c>
      <c r="K23" s="3"/>
      <c r="L23" s="7">
        <v>355.68</v>
      </c>
      <c r="M23" s="7">
        <v>355.68</v>
      </c>
      <c r="N23" s="7">
        <v>375.68</v>
      </c>
      <c r="O23" s="7">
        <f t="shared" si="0"/>
        <v>2134.08</v>
      </c>
      <c r="P23" s="7">
        <f>E23-I23-J23-K23-L23-M23-N23</f>
        <v>17865.919999999998</v>
      </c>
      <c r="Q23" s="4" t="str">
        <f t="shared" ref="Q23:Q45" si="5">IF(R23=0,"Current","Not Current")</f>
        <v>Current</v>
      </c>
      <c r="R23" s="150">
        <f>H23*6-(I23+J23+K23+L23+M23+N23)</f>
        <v>0</v>
      </c>
      <c r="S23" s="152" t="s">
        <v>92</v>
      </c>
      <c r="U23" s="10"/>
    </row>
    <row r="24" spans="1:21">
      <c r="A24" s="4">
        <v>100090</v>
      </c>
      <c r="B24" s="4" t="s">
        <v>93</v>
      </c>
      <c r="C24" s="4" t="s">
        <v>94</v>
      </c>
      <c r="D24" s="125" t="s">
        <v>95</v>
      </c>
      <c r="E24" s="8">
        <v>50000</v>
      </c>
      <c r="F24" s="6">
        <v>44273</v>
      </c>
      <c r="G24" s="6">
        <v>44378</v>
      </c>
      <c r="H24" s="74">
        <v>889.2</v>
      </c>
      <c r="I24" s="3">
        <v>889.2</v>
      </c>
      <c r="J24" s="3">
        <f>VLOOKUP(A24,'[1]paymentsExport (1)'!$B$2:$G$27,6,0)</f>
        <v>889.2</v>
      </c>
      <c r="K24" s="3">
        <v>889.2</v>
      </c>
      <c r="L24" s="7">
        <v>889.2</v>
      </c>
      <c r="M24" s="7">
        <v>889.2</v>
      </c>
      <c r="N24" s="7">
        <v>889.2</v>
      </c>
      <c r="O24" s="7">
        <f t="shared" si="0"/>
        <v>5335.2</v>
      </c>
      <c r="P24" s="7">
        <f t="shared" ref="P24:P38" si="6">E24-I24-J24-K24-L24-M24-N24</f>
        <v>44664.800000000017</v>
      </c>
      <c r="Q24" s="15" t="str">
        <f t="shared" si="5"/>
        <v>Current</v>
      </c>
      <c r="R24" s="150">
        <f t="shared" ref="R24:R38" si="7">H24*6-(I24+J24+K24+L24+M24+N24)</f>
        <v>0</v>
      </c>
      <c r="S24" s="15"/>
      <c r="U24" s="10"/>
    </row>
    <row r="25" spans="1:21">
      <c r="A25" s="4">
        <v>100149</v>
      </c>
      <c r="B25" s="4" t="s">
        <v>96</v>
      </c>
      <c r="C25" s="4" t="s">
        <v>97</v>
      </c>
      <c r="D25" s="125" t="s">
        <v>98</v>
      </c>
      <c r="E25" s="8">
        <v>10000</v>
      </c>
      <c r="F25" s="6">
        <v>44273</v>
      </c>
      <c r="G25" s="6">
        <v>44378</v>
      </c>
      <c r="H25" s="74">
        <v>177.84</v>
      </c>
      <c r="I25" s="4"/>
      <c r="J25" s="3">
        <f>VLOOKUP(A25,'[1]paymentsExport (1)'!$B$2:$G$27,6,0)</f>
        <v>355.68</v>
      </c>
      <c r="K25" s="3">
        <v>177.84</v>
      </c>
      <c r="L25" s="7">
        <v>177.84</v>
      </c>
      <c r="M25" s="7">
        <v>177.84</v>
      </c>
      <c r="N25" s="7">
        <v>177.84</v>
      </c>
      <c r="O25" s="7">
        <f t="shared" si="0"/>
        <v>1067.04</v>
      </c>
      <c r="P25" s="7">
        <f t="shared" si="6"/>
        <v>8932.9599999999991</v>
      </c>
      <c r="Q25" s="15" t="str">
        <f t="shared" si="5"/>
        <v>Current</v>
      </c>
      <c r="R25" s="150">
        <f t="shared" si="7"/>
        <v>0</v>
      </c>
      <c r="S25" s="15"/>
      <c r="U25" s="10"/>
    </row>
    <row r="26" spans="1:21">
      <c r="A26" s="4">
        <v>100151</v>
      </c>
      <c r="B26" s="4" t="s">
        <v>99</v>
      </c>
      <c r="C26" s="4" t="s">
        <v>100</v>
      </c>
      <c r="D26" s="125" t="s">
        <v>101</v>
      </c>
      <c r="E26" s="8">
        <v>10000</v>
      </c>
      <c r="F26" s="6">
        <v>44286</v>
      </c>
      <c r="G26" s="6">
        <v>44378</v>
      </c>
      <c r="H26" s="74">
        <v>177.84</v>
      </c>
      <c r="I26" s="3">
        <v>177.84</v>
      </c>
      <c r="J26" s="3">
        <f>VLOOKUP(A26,'[1]paymentsExport (1)'!$B$2:$G$27,6,0)</f>
        <v>177.84</v>
      </c>
      <c r="K26" s="3">
        <v>177.84</v>
      </c>
      <c r="L26" s="7">
        <v>177.84</v>
      </c>
      <c r="M26" s="7">
        <v>177.84</v>
      </c>
      <c r="N26" s="7">
        <v>177.84</v>
      </c>
      <c r="O26" s="7">
        <f t="shared" si="0"/>
        <v>1067.04</v>
      </c>
      <c r="P26" s="7">
        <f t="shared" si="6"/>
        <v>8932.9599999999991</v>
      </c>
      <c r="Q26" s="15" t="str">
        <f t="shared" si="5"/>
        <v>Current</v>
      </c>
      <c r="R26" s="150">
        <f t="shared" si="7"/>
        <v>0</v>
      </c>
      <c r="S26" s="15"/>
      <c r="U26" s="10"/>
    </row>
    <row r="27" spans="1:21">
      <c r="A27" s="4">
        <v>100240</v>
      </c>
      <c r="B27" s="4" t="s">
        <v>102</v>
      </c>
      <c r="C27" s="4" t="s">
        <v>103</v>
      </c>
      <c r="D27" s="125" t="s">
        <v>104</v>
      </c>
      <c r="E27" s="8">
        <v>50000</v>
      </c>
      <c r="F27" s="6">
        <v>44280</v>
      </c>
      <c r="G27" s="6">
        <v>44378</v>
      </c>
      <c r="H27" s="74">
        <v>889.2</v>
      </c>
      <c r="I27" s="3">
        <v>889.2</v>
      </c>
      <c r="J27" s="3">
        <f>VLOOKUP(A27,'[1]paymentsExport (1)'!$B$2:$G$27,6,0)</f>
        <v>889.2</v>
      </c>
      <c r="K27" s="3">
        <v>889.2</v>
      </c>
      <c r="L27" s="7">
        <v>889.2</v>
      </c>
      <c r="M27" s="7">
        <v>889.2</v>
      </c>
      <c r="N27" s="7">
        <v>889.2</v>
      </c>
      <c r="O27" s="7">
        <f t="shared" si="0"/>
        <v>5335.2</v>
      </c>
      <c r="P27" s="7">
        <f t="shared" si="6"/>
        <v>44664.800000000017</v>
      </c>
      <c r="Q27" s="15" t="str">
        <f t="shared" si="5"/>
        <v>Current</v>
      </c>
      <c r="R27" s="150">
        <f t="shared" si="7"/>
        <v>0</v>
      </c>
      <c r="S27" s="15"/>
      <c r="U27" s="10"/>
    </row>
    <row r="28" spans="1:21">
      <c r="A28" s="4">
        <v>100291</v>
      </c>
      <c r="B28" s="4" t="s">
        <v>105</v>
      </c>
      <c r="C28" s="4" t="s">
        <v>106</v>
      </c>
      <c r="D28" s="125" t="s">
        <v>107</v>
      </c>
      <c r="E28" s="8">
        <v>50000</v>
      </c>
      <c r="F28" s="6">
        <v>44273</v>
      </c>
      <c r="G28" s="6">
        <v>44378</v>
      </c>
      <c r="H28" s="74">
        <v>889.2</v>
      </c>
      <c r="I28" s="3">
        <v>889.2</v>
      </c>
      <c r="J28" s="3">
        <f>VLOOKUP(A28,'[1]paymentsExport (1)'!$B$2:$G$27,6,0)</f>
        <v>889.2</v>
      </c>
      <c r="K28" s="3">
        <v>889.2</v>
      </c>
      <c r="L28" s="7">
        <v>889.2</v>
      </c>
      <c r="M28" s="7">
        <v>889.2</v>
      </c>
      <c r="N28" s="7">
        <v>889.2</v>
      </c>
      <c r="O28" s="7">
        <f t="shared" si="0"/>
        <v>5335.2</v>
      </c>
      <c r="P28" s="7">
        <f t="shared" si="6"/>
        <v>44664.800000000017</v>
      </c>
      <c r="Q28" s="4" t="str">
        <f t="shared" si="5"/>
        <v>Current</v>
      </c>
      <c r="R28" s="150">
        <f t="shared" si="7"/>
        <v>0</v>
      </c>
      <c r="S28" s="15"/>
      <c r="U28" s="10"/>
    </row>
    <row r="29" spans="1:21">
      <c r="A29" s="4">
        <v>100302</v>
      </c>
      <c r="B29" s="4" t="s">
        <v>49</v>
      </c>
      <c r="C29" s="4" t="s">
        <v>108</v>
      </c>
      <c r="D29" s="125" t="s">
        <v>109</v>
      </c>
      <c r="E29" s="8">
        <v>50000</v>
      </c>
      <c r="F29" s="6">
        <v>44280</v>
      </c>
      <c r="G29" s="6">
        <v>44378</v>
      </c>
      <c r="H29" s="74">
        <v>889.2</v>
      </c>
      <c r="I29" s="3">
        <v>889.2</v>
      </c>
      <c r="J29" s="3">
        <f>VLOOKUP(A29,'[1]paymentsExport (1)'!$B$2:$G$27,6,0)</f>
        <v>889.2</v>
      </c>
      <c r="K29" s="3">
        <v>889.2</v>
      </c>
      <c r="L29" s="7">
        <v>889.2</v>
      </c>
      <c r="M29" s="7">
        <v>889.2</v>
      </c>
      <c r="N29" s="7">
        <v>889.2</v>
      </c>
      <c r="O29" s="7">
        <f t="shared" si="0"/>
        <v>5335.2</v>
      </c>
      <c r="P29" s="7">
        <f t="shared" si="6"/>
        <v>44664.800000000017</v>
      </c>
      <c r="Q29" s="15" t="str">
        <f t="shared" si="5"/>
        <v>Current</v>
      </c>
      <c r="R29" s="150">
        <f t="shared" si="7"/>
        <v>0</v>
      </c>
      <c r="S29" s="15"/>
      <c r="U29" s="10"/>
    </row>
    <row r="30" spans="1:21">
      <c r="A30" s="4">
        <v>100351</v>
      </c>
      <c r="B30" s="4" t="s">
        <v>110</v>
      </c>
      <c r="C30" s="4" t="s">
        <v>111</v>
      </c>
      <c r="D30" s="125" t="s">
        <v>112</v>
      </c>
      <c r="E30" s="8">
        <v>39000</v>
      </c>
      <c r="F30" s="6">
        <v>44273</v>
      </c>
      <c r="G30" s="6">
        <v>44378</v>
      </c>
      <c r="H30" s="74">
        <v>693.58</v>
      </c>
      <c r="I30" s="3">
        <v>693.58</v>
      </c>
      <c r="J30" s="3">
        <f>VLOOKUP(A30,'[1]paymentsExport (1)'!$B$2:$G$27,6,0)</f>
        <v>693.58</v>
      </c>
      <c r="K30" s="3">
        <v>693.58</v>
      </c>
      <c r="L30" s="7">
        <v>693.58</v>
      </c>
      <c r="M30" s="7">
        <v>693.58</v>
      </c>
      <c r="N30" s="7">
        <v>693.58</v>
      </c>
      <c r="O30" s="7">
        <f t="shared" si="0"/>
        <v>4161.4800000000005</v>
      </c>
      <c r="P30" s="7">
        <f t="shared" si="6"/>
        <v>34838.51999999999</v>
      </c>
      <c r="Q30" s="15" t="str">
        <f t="shared" si="5"/>
        <v>Current</v>
      </c>
      <c r="R30" s="150">
        <f t="shared" si="7"/>
        <v>0</v>
      </c>
      <c r="S30" s="15"/>
      <c r="U30" s="10"/>
    </row>
    <row r="31" spans="1:21">
      <c r="A31" s="4">
        <v>100352</v>
      </c>
      <c r="B31" s="4" t="s">
        <v>113</v>
      </c>
      <c r="C31" s="4" t="s">
        <v>114</v>
      </c>
      <c r="D31" s="125" t="s">
        <v>115</v>
      </c>
      <c r="E31" s="8">
        <v>50000</v>
      </c>
      <c r="F31" s="6">
        <v>44280</v>
      </c>
      <c r="G31" s="6">
        <v>44378</v>
      </c>
      <c r="H31" s="74">
        <v>889.2</v>
      </c>
      <c r="I31" s="3">
        <v>889.2</v>
      </c>
      <c r="J31" s="3">
        <f>VLOOKUP(A31,'[1]paymentsExport (1)'!$B$2:$G$27,6,0)</f>
        <v>889.2</v>
      </c>
      <c r="K31" s="3">
        <v>889.2</v>
      </c>
      <c r="L31" s="7">
        <v>889.2</v>
      </c>
      <c r="M31" s="7">
        <v>889.2</v>
      </c>
      <c r="N31" s="7">
        <v>889.2</v>
      </c>
      <c r="O31" s="7">
        <f t="shared" si="0"/>
        <v>5335.2</v>
      </c>
      <c r="P31" s="7">
        <f t="shared" si="6"/>
        <v>44664.800000000017</v>
      </c>
      <c r="Q31" s="15" t="str">
        <f t="shared" si="5"/>
        <v>Current</v>
      </c>
      <c r="R31" s="150">
        <f t="shared" si="7"/>
        <v>0</v>
      </c>
      <c r="S31" s="15"/>
      <c r="U31" s="10"/>
    </row>
    <row r="32" spans="1:21">
      <c r="A32" s="4">
        <v>100357</v>
      </c>
      <c r="B32" s="4" t="s">
        <v>116</v>
      </c>
      <c r="C32" s="4" t="s">
        <v>117</v>
      </c>
      <c r="D32" s="125" t="s">
        <v>118</v>
      </c>
      <c r="E32" s="8">
        <v>50000</v>
      </c>
      <c r="F32" s="6">
        <v>44286</v>
      </c>
      <c r="G32" s="6">
        <v>44378</v>
      </c>
      <c r="H32" s="74">
        <v>889.2</v>
      </c>
      <c r="I32" s="3">
        <v>889.2</v>
      </c>
      <c r="J32" s="3">
        <v>889.2</v>
      </c>
      <c r="K32" s="3">
        <v>889.2</v>
      </c>
      <c r="L32" s="7">
        <v>889.2</v>
      </c>
      <c r="M32" s="7">
        <v>889.2</v>
      </c>
      <c r="N32" s="7">
        <v>889.2</v>
      </c>
      <c r="O32" s="7">
        <f t="shared" si="0"/>
        <v>5335.2</v>
      </c>
      <c r="P32" s="7">
        <f t="shared" si="6"/>
        <v>44664.800000000017</v>
      </c>
      <c r="Q32" s="15" t="str">
        <f t="shared" si="5"/>
        <v>Current</v>
      </c>
      <c r="R32" s="150">
        <f t="shared" si="7"/>
        <v>0</v>
      </c>
      <c r="S32" s="15"/>
      <c r="U32" s="10"/>
    </row>
    <row r="33" spans="1:21">
      <c r="A33" s="4">
        <v>100042</v>
      </c>
      <c r="B33" s="4" t="s">
        <v>119</v>
      </c>
      <c r="C33" s="4" t="s">
        <v>120</v>
      </c>
      <c r="D33" s="125" t="s">
        <v>121</v>
      </c>
      <c r="E33" s="5">
        <v>50000</v>
      </c>
      <c r="F33" s="6">
        <v>44286</v>
      </c>
      <c r="G33" s="6">
        <v>44378</v>
      </c>
      <c r="H33" s="74">
        <v>889.2</v>
      </c>
      <c r="I33" s="4"/>
      <c r="J33" s="3">
        <f>VLOOKUP(A33,'[1]paymentsExport (1)'!$B$2:$G$27,6,0)</f>
        <v>1778.4</v>
      </c>
      <c r="K33" s="3">
        <v>889.2</v>
      </c>
      <c r="L33" s="7">
        <v>889.2</v>
      </c>
      <c r="M33" s="7">
        <v>889.2</v>
      </c>
      <c r="N33" s="7">
        <v>889.2</v>
      </c>
      <c r="O33" s="7">
        <f t="shared" si="0"/>
        <v>5335.2</v>
      </c>
      <c r="P33" s="7">
        <f t="shared" si="6"/>
        <v>44664.80000000001</v>
      </c>
      <c r="Q33" s="15" t="str">
        <f t="shared" si="5"/>
        <v>Current</v>
      </c>
      <c r="R33" s="150">
        <f t="shared" si="7"/>
        <v>0</v>
      </c>
      <c r="S33" s="15"/>
      <c r="U33" s="10"/>
    </row>
    <row r="34" spans="1:21">
      <c r="A34" s="4">
        <v>100060</v>
      </c>
      <c r="B34" s="4" t="s">
        <v>122</v>
      </c>
      <c r="C34" s="4" t="s">
        <v>123</v>
      </c>
      <c r="D34" s="125" t="s">
        <v>124</v>
      </c>
      <c r="E34" s="5">
        <v>25000</v>
      </c>
      <c r="F34" s="6">
        <v>44286</v>
      </c>
      <c r="G34" s="6">
        <v>44378</v>
      </c>
      <c r="H34" s="74">
        <v>444.6</v>
      </c>
      <c r="I34" s="3">
        <v>444.6</v>
      </c>
      <c r="J34" s="3">
        <f>VLOOKUP(A34,'[1]paymentsExport (1)'!$B$2:$G$27,6,0)</f>
        <v>444.6</v>
      </c>
      <c r="K34" s="3">
        <v>444.6</v>
      </c>
      <c r="L34" s="7">
        <v>444.6</v>
      </c>
      <c r="M34" s="7"/>
      <c r="N34" s="7">
        <f>444.6+444.6</f>
        <v>889.2</v>
      </c>
      <c r="O34" s="7">
        <f t="shared" si="0"/>
        <v>2667.6000000000004</v>
      </c>
      <c r="P34" s="7">
        <f t="shared" si="6"/>
        <v>22332.400000000005</v>
      </c>
      <c r="Q34" s="4" t="str">
        <f t="shared" si="5"/>
        <v>Current</v>
      </c>
      <c r="R34" s="150">
        <f t="shared" si="7"/>
        <v>0</v>
      </c>
      <c r="S34" s="15" t="s">
        <v>125</v>
      </c>
      <c r="U34" s="10"/>
    </row>
    <row r="35" spans="1:21">
      <c r="A35" s="4">
        <v>100081</v>
      </c>
      <c r="B35" s="4" t="s">
        <v>126</v>
      </c>
      <c r="C35" s="4" t="s">
        <v>127</v>
      </c>
      <c r="D35" s="125" t="s">
        <v>128</v>
      </c>
      <c r="E35" s="5">
        <v>25000</v>
      </c>
      <c r="F35" s="6">
        <v>44280</v>
      </c>
      <c r="G35" s="6">
        <v>44378</v>
      </c>
      <c r="H35" s="74">
        <v>444.6</v>
      </c>
      <c r="I35" s="3">
        <v>0</v>
      </c>
      <c r="J35" s="3">
        <f>VLOOKUP(A35,'[1]paymentsExport (1)'!$B$2:$G$27,6,0)</f>
        <v>444.6</v>
      </c>
      <c r="K35" s="3">
        <v>444.6</v>
      </c>
      <c r="L35" s="7">
        <v>889.2</v>
      </c>
      <c r="M35" s="131">
        <v>444.6</v>
      </c>
      <c r="N35" s="131">
        <v>444.6</v>
      </c>
      <c r="O35" s="7">
        <f t="shared" si="0"/>
        <v>2667.6</v>
      </c>
      <c r="P35" s="7">
        <f t="shared" si="6"/>
        <v>22332.400000000005</v>
      </c>
      <c r="Q35" s="4" t="str">
        <f t="shared" si="5"/>
        <v>Current</v>
      </c>
      <c r="R35" s="150">
        <f t="shared" si="7"/>
        <v>0</v>
      </c>
      <c r="S35" s="15" t="s">
        <v>129</v>
      </c>
      <c r="U35" s="10"/>
    </row>
    <row r="36" spans="1:21">
      <c r="A36" s="4">
        <v>100277</v>
      </c>
      <c r="B36" s="4" t="s">
        <v>130</v>
      </c>
      <c r="C36" s="4" t="s">
        <v>131</v>
      </c>
      <c r="D36" s="125" t="s">
        <v>132</v>
      </c>
      <c r="E36" s="5">
        <v>20000</v>
      </c>
      <c r="F36" s="6">
        <v>44292</v>
      </c>
      <c r="G36" s="6">
        <v>44378</v>
      </c>
      <c r="H36" s="74">
        <v>355.68</v>
      </c>
      <c r="I36" s="3">
        <v>355.68</v>
      </c>
      <c r="J36" s="3">
        <v>355.68</v>
      </c>
      <c r="K36" s="3">
        <v>355.68</v>
      </c>
      <c r="L36" s="7">
        <v>355.68</v>
      </c>
      <c r="M36" s="131">
        <v>355.68</v>
      </c>
      <c r="N36" s="131">
        <v>355.68</v>
      </c>
      <c r="O36" s="7">
        <f t="shared" si="0"/>
        <v>2134.08</v>
      </c>
      <c r="P36" s="7">
        <f t="shared" si="6"/>
        <v>17865.919999999998</v>
      </c>
      <c r="Q36" s="4" t="str">
        <f t="shared" si="5"/>
        <v>Current</v>
      </c>
      <c r="R36" s="150">
        <f t="shared" si="7"/>
        <v>0</v>
      </c>
      <c r="S36" s="15" t="s">
        <v>133</v>
      </c>
      <c r="U36" s="10"/>
    </row>
    <row r="37" spans="1:21">
      <c r="A37" s="4">
        <v>100283</v>
      </c>
      <c r="B37" s="4" t="s">
        <v>134</v>
      </c>
      <c r="C37" s="4" t="s">
        <v>135</v>
      </c>
      <c r="D37" s="125" t="s">
        <v>136</v>
      </c>
      <c r="E37" s="5">
        <v>50000</v>
      </c>
      <c r="F37" s="6">
        <v>44280</v>
      </c>
      <c r="G37" s="6">
        <v>44378</v>
      </c>
      <c r="H37" s="74">
        <v>889.2</v>
      </c>
      <c r="I37" s="3">
        <v>889.2</v>
      </c>
      <c r="J37" s="3">
        <v>889.2</v>
      </c>
      <c r="K37" s="3">
        <v>889.2</v>
      </c>
      <c r="L37" s="7">
        <v>889.2</v>
      </c>
      <c r="M37" s="131">
        <v>889.2</v>
      </c>
      <c r="N37" s="131">
        <v>889.2</v>
      </c>
      <c r="O37" s="7">
        <f t="shared" si="0"/>
        <v>5335.2</v>
      </c>
      <c r="P37" s="7">
        <f t="shared" si="6"/>
        <v>44664.800000000017</v>
      </c>
      <c r="Q37" s="15" t="str">
        <f t="shared" si="5"/>
        <v>Current</v>
      </c>
      <c r="R37" s="150">
        <f t="shared" si="7"/>
        <v>0</v>
      </c>
      <c r="S37" s="15"/>
      <c r="U37" s="10"/>
    </row>
    <row r="38" spans="1:21">
      <c r="A38" s="4">
        <v>100295</v>
      </c>
      <c r="B38" s="4" t="s">
        <v>137</v>
      </c>
      <c r="C38" s="4" t="s">
        <v>138</v>
      </c>
      <c r="D38" s="125" t="s">
        <v>139</v>
      </c>
      <c r="E38" s="5">
        <v>20000</v>
      </c>
      <c r="F38" s="6">
        <v>44280</v>
      </c>
      <c r="G38" s="6">
        <v>44378</v>
      </c>
      <c r="H38" s="75">
        <v>355.68</v>
      </c>
      <c r="I38" s="3">
        <v>355.68</v>
      </c>
      <c r="J38" s="3">
        <v>355.68</v>
      </c>
      <c r="K38" s="3">
        <v>355.68</v>
      </c>
      <c r="L38" s="3">
        <v>355.68</v>
      </c>
      <c r="M38" s="131">
        <v>355.68</v>
      </c>
      <c r="N38" s="131">
        <v>355.68</v>
      </c>
      <c r="O38" s="7">
        <f t="shared" si="0"/>
        <v>2134.08</v>
      </c>
      <c r="P38" s="7">
        <f t="shared" si="6"/>
        <v>17865.919999999998</v>
      </c>
      <c r="Q38" s="15" t="str">
        <f t="shared" si="5"/>
        <v>Current</v>
      </c>
      <c r="R38" s="150">
        <f t="shared" si="7"/>
        <v>0</v>
      </c>
      <c r="S38" s="15"/>
      <c r="U38" s="10"/>
    </row>
    <row r="39" spans="1:21" hidden="1">
      <c r="A39" s="4">
        <v>100306</v>
      </c>
      <c r="B39" s="4" t="s">
        <v>140</v>
      </c>
      <c r="C39" s="4" t="s">
        <v>141</v>
      </c>
      <c r="D39" s="125" t="s">
        <v>142</v>
      </c>
      <c r="E39" s="5">
        <v>50000</v>
      </c>
      <c r="F39" s="6">
        <v>44315</v>
      </c>
      <c r="G39" s="6">
        <v>44409</v>
      </c>
      <c r="H39" s="75">
        <v>889.2</v>
      </c>
      <c r="I39" s="132" t="s">
        <v>143</v>
      </c>
      <c r="J39" s="3">
        <v>889.2</v>
      </c>
      <c r="K39" s="3">
        <v>889.2</v>
      </c>
      <c r="L39" s="3">
        <v>889.2</v>
      </c>
      <c r="M39" s="131">
        <v>889.2</v>
      </c>
      <c r="N39" s="131">
        <v>889.2</v>
      </c>
      <c r="O39" s="7">
        <f t="shared" si="0"/>
        <v>4446</v>
      </c>
      <c r="P39" s="7">
        <f>E39-J39-K39-L39-M39-N39</f>
        <v>45554.000000000015</v>
      </c>
      <c r="Q39" s="15" t="str">
        <f t="shared" si="5"/>
        <v>Current</v>
      </c>
      <c r="R39" s="150">
        <f>H39*5-(J39+K39+L39+M39+N39)</f>
        <v>0</v>
      </c>
      <c r="S39" s="15"/>
      <c r="U39" s="10"/>
    </row>
    <row r="40" spans="1:21" hidden="1">
      <c r="A40" s="4">
        <v>100145</v>
      </c>
      <c r="B40" s="4" t="s">
        <v>144</v>
      </c>
      <c r="C40" s="4" t="s">
        <v>145</v>
      </c>
      <c r="D40" s="125" t="s">
        <v>146</v>
      </c>
      <c r="E40" s="5">
        <v>15000</v>
      </c>
      <c r="F40" s="6">
        <v>44315</v>
      </c>
      <c r="G40" s="6">
        <v>44409</v>
      </c>
      <c r="H40" s="75">
        <v>266.76</v>
      </c>
      <c r="I40" s="132" t="s">
        <v>143</v>
      </c>
      <c r="J40" s="3">
        <v>266.76</v>
      </c>
      <c r="K40" s="3">
        <v>266.76</v>
      </c>
      <c r="L40" s="3">
        <v>266.76</v>
      </c>
      <c r="M40" s="131">
        <v>266.76</v>
      </c>
      <c r="N40" s="131">
        <v>266.76</v>
      </c>
      <c r="O40" s="7">
        <f t="shared" si="0"/>
        <v>1333.8</v>
      </c>
      <c r="P40" s="7">
        <f t="shared" ref="P40:P42" si="8">E40-J40-K40-L40-M40-N40</f>
        <v>13666.199999999999</v>
      </c>
      <c r="Q40" s="15" t="str">
        <f t="shared" si="5"/>
        <v>Current</v>
      </c>
      <c r="R40" s="150">
        <f t="shared" ref="R40:R42" si="9">H40*5-(J40+K40+L40+M40+N40)</f>
        <v>0</v>
      </c>
      <c r="S40" s="15"/>
      <c r="U40" s="10"/>
    </row>
    <row r="41" spans="1:21" hidden="1">
      <c r="A41" s="4">
        <v>100249</v>
      </c>
      <c r="B41" s="4" t="s">
        <v>147</v>
      </c>
      <c r="C41" s="4" t="s">
        <v>148</v>
      </c>
      <c r="D41" s="125" t="s">
        <v>149</v>
      </c>
      <c r="E41" s="5">
        <v>20000</v>
      </c>
      <c r="F41" s="6">
        <v>44322</v>
      </c>
      <c r="G41" s="6">
        <v>44409</v>
      </c>
      <c r="H41" s="75">
        <v>1681.79</v>
      </c>
      <c r="I41" s="132" t="s">
        <v>143</v>
      </c>
      <c r="J41" s="3">
        <v>355.68</v>
      </c>
      <c r="K41" s="3">
        <v>355.68</v>
      </c>
      <c r="L41" s="3">
        <v>355.68</v>
      </c>
      <c r="M41" s="131">
        <v>355.68</v>
      </c>
      <c r="N41" s="131">
        <f>1681.79+2652.22</f>
        <v>4334.01</v>
      </c>
      <c r="O41" s="7">
        <f>SUM(I41:N41)</f>
        <v>5756.7300000000005</v>
      </c>
      <c r="P41" s="7">
        <f t="shared" si="8"/>
        <v>14243.269999999999</v>
      </c>
      <c r="Q41" s="4" t="str">
        <f t="shared" si="5"/>
        <v>Current</v>
      </c>
      <c r="R41" s="150">
        <f>H41*3-(L41+M41+N41)</f>
        <v>0</v>
      </c>
      <c r="S41" s="15"/>
      <c r="U41" s="10"/>
    </row>
    <row r="42" spans="1:21" hidden="1">
      <c r="A42" s="4">
        <v>100335</v>
      </c>
      <c r="B42" s="4" t="s">
        <v>150</v>
      </c>
      <c r="C42" s="4" t="s">
        <v>151</v>
      </c>
      <c r="D42" s="125" t="s">
        <v>152</v>
      </c>
      <c r="E42" s="5">
        <v>25000</v>
      </c>
      <c r="F42" s="6">
        <v>44315</v>
      </c>
      <c r="G42" s="6">
        <v>44409</v>
      </c>
      <c r="H42" s="75">
        <v>444.6</v>
      </c>
      <c r="I42" s="132" t="s">
        <v>143</v>
      </c>
      <c r="J42" s="3">
        <f>VLOOKUP(A42,'[1]paymentsExport (1)'!$B$2:$G$27,6,0)</f>
        <v>444.6</v>
      </c>
      <c r="K42" s="3">
        <v>444.6</v>
      </c>
      <c r="L42" s="3">
        <v>444.6</v>
      </c>
      <c r="M42" s="131">
        <v>444.6</v>
      </c>
      <c r="N42" s="131">
        <v>444.6</v>
      </c>
      <c r="O42" s="7">
        <f t="shared" si="0"/>
        <v>2223</v>
      </c>
      <c r="P42" s="7">
        <f t="shared" si="8"/>
        <v>22777.000000000007</v>
      </c>
      <c r="Q42" s="4" t="str">
        <f t="shared" si="5"/>
        <v>Current</v>
      </c>
      <c r="R42" s="150">
        <f t="shared" si="9"/>
        <v>0</v>
      </c>
      <c r="S42" s="15" t="s">
        <v>153</v>
      </c>
      <c r="U42" s="10"/>
    </row>
    <row r="43" spans="1:21" hidden="1">
      <c r="A43" s="4">
        <v>100202</v>
      </c>
      <c r="B43" s="4" t="s">
        <v>154</v>
      </c>
      <c r="C43" s="4" t="s">
        <v>155</v>
      </c>
      <c r="D43" s="125" t="s">
        <v>156</v>
      </c>
      <c r="E43" s="5">
        <v>25000</v>
      </c>
      <c r="F43" s="6">
        <v>44344</v>
      </c>
      <c r="G43" s="6">
        <v>44440</v>
      </c>
      <c r="H43" s="75">
        <v>444.6</v>
      </c>
      <c r="I43" s="132" t="s">
        <v>143</v>
      </c>
      <c r="J43" s="133" t="s">
        <v>143</v>
      </c>
      <c r="K43" s="3">
        <v>444.6</v>
      </c>
      <c r="L43" s="3">
        <v>444.6</v>
      </c>
      <c r="M43" s="7">
        <v>444.6</v>
      </c>
      <c r="N43" s="7">
        <v>444.6</v>
      </c>
      <c r="O43" s="7">
        <f t="shared" si="0"/>
        <v>1778.4</v>
      </c>
      <c r="P43" s="7">
        <f>E43-K43-L43-M43-N43</f>
        <v>23221.600000000006</v>
      </c>
      <c r="Q43" s="15" t="str">
        <f t="shared" si="5"/>
        <v>Current</v>
      </c>
      <c r="R43" s="150">
        <f>H43*4-(K43+L43+M43+N43)</f>
        <v>0</v>
      </c>
      <c r="S43" s="15"/>
      <c r="U43" s="10"/>
    </row>
    <row r="44" spans="1:21" hidden="1">
      <c r="A44" s="4">
        <v>100034</v>
      </c>
      <c r="B44" s="4" t="s">
        <v>157</v>
      </c>
      <c r="C44" s="4" t="s">
        <v>127</v>
      </c>
      <c r="D44" s="125" t="s">
        <v>158</v>
      </c>
      <c r="E44" s="5">
        <v>28500</v>
      </c>
      <c r="F44" s="6">
        <v>44355</v>
      </c>
      <c r="G44" s="6">
        <v>44470</v>
      </c>
      <c r="H44" s="75">
        <v>506.84</v>
      </c>
      <c r="I44" s="132" t="s">
        <v>143</v>
      </c>
      <c r="J44" s="133" t="s">
        <v>143</v>
      </c>
      <c r="K44" s="133" t="s">
        <v>143</v>
      </c>
      <c r="L44" s="3">
        <v>506.84</v>
      </c>
      <c r="M44" s="7">
        <v>506.84</v>
      </c>
      <c r="N44" s="7">
        <v>506.84</v>
      </c>
      <c r="O44" s="7">
        <f t="shared" si="0"/>
        <v>1520.52</v>
      </c>
      <c r="P44" s="7">
        <f>E44-L44-M44-N44</f>
        <v>26979.48</v>
      </c>
      <c r="Q44" s="15" t="str">
        <f t="shared" si="5"/>
        <v>Current</v>
      </c>
      <c r="R44" s="150">
        <f>H44*3-(L44+M44+N44)</f>
        <v>0</v>
      </c>
      <c r="S44" s="15"/>
      <c r="U44" s="10"/>
    </row>
    <row r="45" spans="1:21" hidden="1">
      <c r="A45" s="4">
        <v>100085</v>
      </c>
      <c r="B45" s="4" t="s">
        <v>159</v>
      </c>
      <c r="C45" s="4" t="s">
        <v>160</v>
      </c>
      <c r="D45" s="125" t="s">
        <v>161</v>
      </c>
      <c r="E45" s="5">
        <v>50000</v>
      </c>
      <c r="F45" s="6">
        <v>44355</v>
      </c>
      <c r="G45" s="6">
        <v>44470</v>
      </c>
      <c r="H45" s="75">
        <v>889.2</v>
      </c>
      <c r="I45" s="132" t="s">
        <v>143</v>
      </c>
      <c r="J45" s="133" t="s">
        <v>143</v>
      </c>
      <c r="K45" s="133" t="s">
        <v>143</v>
      </c>
      <c r="L45" s="3">
        <v>889.2</v>
      </c>
      <c r="M45" s="7">
        <v>889.2</v>
      </c>
      <c r="N45" s="7">
        <v>889.2</v>
      </c>
      <c r="O45" s="7">
        <f t="shared" si="0"/>
        <v>2667.6000000000004</v>
      </c>
      <c r="P45" s="7">
        <f>E45-L45-M45-N45</f>
        <v>47332.400000000009</v>
      </c>
      <c r="Q45" s="15" t="str">
        <f t="shared" si="5"/>
        <v>Current</v>
      </c>
      <c r="R45" s="150">
        <f>H45*3-(L45+M45+N45)</f>
        <v>0</v>
      </c>
      <c r="S45" s="15"/>
      <c r="U45" s="10"/>
    </row>
    <row r="46" spans="1:21" hidden="1">
      <c r="A46" s="4">
        <v>100055</v>
      </c>
      <c r="B46" s="4" t="s">
        <v>162</v>
      </c>
      <c r="C46" s="4" t="s">
        <v>163</v>
      </c>
      <c r="D46" s="125" t="s">
        <v>164</v>
      </c>
      <c r="E46" s="5">
        <v>50000</v>
      </c>
      <c r="F46" s="6">
        <v>44470</v>
      </c>
      <c r="G46" s="6">
        <v>44562</v>
      </c>
      <c r="H46" s="75">
        <v>889.2</v>
      </c>
      <c r="I46" s="132" t="s">
        <v>143</v>
      </c>
      <c r="J46" s="133" t="s">
        <v>143</v>
      </c>
      <c r="K46" s="133" t="s">
        <v>143</v>
      </c>
      <c r="L46" s="132" t="s">
        <v>143</v>
      </c>
      <c r="M46" s="133" t="s">
        <v>143</v>
      </c>
      <c r="N46" s="133">
        <v>0.01</v>
      </c>
      <c r="O46" s="7">
        <f t="shared" si="0"/>
        <v>0.01</v>
      </c>
      <c r="P46" s="3">
        <f>E46</f>
        <v>50000</v>
      </c>
      <c r="Q46" s="15" t="s">
        <v>143</v>
      </c>
      <c r="R46" s="150">
        <v>0</v>
      </c>
      <c r="S46" s="15"/>
      <c r="U46" s="10"/>
    </row>
    <row r="47" spans="1:21" hidden="1">
      <c r="A47" s="4">
        <v>100117</v>
      </c>
      <c r="B47" s="4" t="s">
        <v>165</v>
      </c>
      <c r="C47" s="4" t="s">
        <v>166</v>
      </c>
      <c r="D47" s="125" t="s">
        <v>167</v>
      </c>
      <c r="E47" s="5">
        <v>20000</v>
      </c>
      <c r="F47" s="6">
        <v>44470</v>
      </c>
      <c r="G47" s="6">
        <v>44562</v>
      </c>
      <c r="H47" s="75">
        <v>355.68</v>
      </c>
      <c r="I47" s="132" t="s">
        <v>143</v>
      </c>
      <c r="J47" s="133" t="s">
        <v>143</v>
      </c>
      <c r="K47" s="133" t="s">
        <v>143</v>
      </c>
      <c r="L47" s="132" t="s">
        <v>143</v>
      </c>
      <c r="M47" s="133" t="s">
        <v>143</v>
      </c>
      <c r="N47" s="133">
        <v>0.01</v>
      </c>
      <c r="O47" s="7">
        <f t="shared" si="0"/>
        <v>0.01</v>
      </c>
      <c r="P47" s="3">
        <f t="shared" ref="P47:P48" si="10">E47</f>
        <v>20000</v>
      </c>
      <c r="Q47" s="15" t="s">
        <v>143</v>
      </c>
      <c r="R47" s="150">
        <v>0</v>
      </c>
      <c r="S47" s="15"/>
      <c r="U47" s="10"/>
    </row>
    <row r="48" spans="1:21" hidden="1">
      <c r="A48" s="4">
        <v>100376</v>
      </c>
      <c r="B48" s="4" t="s">
        <v>116</v>
      </c>
      <c r="C48" s="4" t="s">
        <v>168</v>
      </c>
      <c r="D48" s="4" t="s">
        <v>169</v>
      </c>
      <c r="E48" s="5">
        <v>50000</v>
      </c>
      <c r="F48" s="6">
        <v>44470</v>
      </c>
      <c r="G48" s="6">
        <v>44562</v>
      </c>
      <c r="H48" s="75">
        <v>889.2</v>
      </c>
      <c r="I48" s="132" t="s">
        <v>143</v>
      </c>
      <c r="J48" s="133" t="s">
        <v>143</v>
      </c>
      <c r="K48" s="133" t="s">
        <v>143</v>
      </c>
      <c r="L48" s="132" t="s">
        <v>143</v>
      </c>
      <c r="M48" s="133" t="s">
        <v>143</v>
      </c>
      <c r="N48" s="133">
        <v>0.01</v>
      </c>
      <c r="O48" s="7">
        <f t="shared" si="0"/>
        <v>0.01</v>
      </c>
      <c r="P48" s="3">
        <f t="shared" si="10"/>
        <v>50000</v>
      </c>
      <c r="Q48" s="15" t="s">
        <v>143</v>
      </c>
      <c r="R48" s="150">
        <v>0</v>
      </c>
      <c r="S48" s="15"/>
      <c r="U48" s="10"/>
    </row>
    <row r="49" spans="1:19" s="47" customFormat="1" hidden="1">
      <c r="A49" s="76"/>
      <c r="B49" s="76"/>
      <c r="C49" s="76"/>
      <c r="D49" s="76"/>
      <c r="E49" s="77">
        <f>SUM(E2:E48)</f>
        <v>1652500</v>
      </c>
      <c r="F49" s="78"/>
      <c r="G49" s="78"/>
      <c r="H49" s="78" t="s">
        <v>170</v>
      </c>
      <c r="I49" s="134">
        <f>SUM(I2:I45)</f>
        <v>20416.040000000008</v>
      </c>
      <c r="J49" s="135">
        <f>SUM(J2:J45)</f>
        <v>27324.010000000006</v>
      </c>
      <c r="K49" s="135">
        <f>SUM(K2:K43)</f>
        <v>24399.650000000005</v>
      </c>
      <c r="L49" s="135">
        <f>SUM(L2:L45)</f>
        <v>73252.579999999958</v>
      </c>
      <c r="M49" s="135">
        <f>SUM(M2:M45)</f>
        <v>25564.500000000007</v>
      </c>
      <c r="N49" s="135">
        <f>SUM(N2:N45)</f>
        <v>29705.100000000006</v>
      </c>
      <c r="O49" s="136">
        <f t="shared" si="0"/>
        <v>200661.87999999998</v>
      </c>
      <c r="P49" s="137">
        <f>E49-I49-J49-K49-L49-M49-N49</f>
        <v>1451838.12</v>
      </c>
      <c r="Q49" s="78"/>
      <c r="R49" s="78"/>
      <c r="S49" s="78"/>
    </row>
    <row r="50" spans="1:19" hidden="1">
      <c r="I50" s="33"/>
      <c r="K50" s="115"/>
      <c r="L50" s="115"/>
      <c r="M50" s="138"/>
      <c r="N50" s="115"/>
      <c r="O50" s="138"/>
      <c r="P50" s="117"/>
    </row>
    <row r="51" spans="1:19">
      <c r="I51" s="139"/>
      <c r="K51" s="115"/>
      <c r="L51" s="138"/>
      <c r="M51" s="138"/>
      <c r="N51" s="115"/>
      <c r="O51" s="138"/>
      <c r="P51" s="138"/>
    </row>
    <row r="52" spans="1:19">
      <c r="C52" s="126"/>
      <c r="D52" s="127"/>
      <c r="E52" s="128"/>
      <c r="J52" s="140" t="s">
        <v>171</v>
      </c>
      <c r="K52" s="141" t="s">
        <v>172</v>
      </c>
      <c r="L52" s="141" t="s">
        <v>170</v>
      </c>
      <c r="M52" s="142" t="s">
        <v>173</v>
      </c>
      <c r="N52" s="10"/>
      <c r="O52" s="10"/>
    </row>
    <row r="53" spans="1:19">
      <c r="J53" s="143">
        <v>20416.04</v>
      </c>
      <c r="K53" s="143">
        <v>0</v>
      </c>
      <c r="L53" s="144">
        <f>J53+K53</f>
        <v>20416.04</v>
      </c>
      <c r="M53" s="145" t="s">
        <v>174</v>
      </c>
    </row>
    <row r="54" spans="1:19">
      <c r="G54" s="175"/>
      <c r="H54" s="175"/>
      <c r="I54" s="175"/>
      <c r="J54" s="94">
        <v>27324.01</v>
      </c>
      <c r="K54" s="94">
        <v>0</v>
      </c>
      <c r="L54" s="95">
        <f t="shared" ref="L54:L59" si="11">J54+K54</f>
        <v>27324.01</v>
      </c>
      <c r="M54" s="15" t="s">
        <v>175</v>
      </c>
      <c r="N54" s="146"/>
      <c r="O54" s="80"/>
      <c r="P54" s="80"/>
    </row>
    <row r="55" spans="1:19">
      <c r="G55" s="80"/>
      <c r="H55" s="80"/>
      <c r="I55" s="114"/>
      <c r="J55" s="94">
        <v>24399.65</v>
      </c>
      <c r="K55" s="94">
        <v>0</v>
      </c>
      <c r="L55" s="95">
        <f t="shared" si="11"/>
        <v>24399.65</v>
      </c>
      <c r="M55" s="15" t="s">
        <v>176</v>
      </c>
      <c r="N55" s="146"/>
      <c r="O55" s="80"/>
      <c r="P55" s="80"/>
    </row>
    <row r="56" spans="1:19">
      <c r="G56" s="80"/>
      <c r="H56" s="80"/>
      <c r="I56" s="114"/>
      <c r="J56" s="94">
        <v>25920.18</v>
      </c>
      <c r="K56" s="94">
        <v>0</v>
      </c>
      <c r="L56" s="95">
        <f t="shared" si="11"/>
        <v>25920.18</v>
      </c>
      <c r="M56" s="15" t="s">
        <v>177</v>
      </c>
      <c r="N56" s="80"/>
      <c r="O56" s="80"/>
      <c r="P56" s="80"/>
    </row>
    <row r="57" spans="1:19">
      <c r="J57" s="98">
        <v>47332.4</v>
      </c>
      <c r="K57" s="94">
        <v>0</v>
      </c>
      <c r="L57" s="95">
        <f t="shared" si="11"/>
        <v>47332.4</v>
      </c>
      <c r="M57" s="15" t="s">
        <v>178</v>
      </c>
      <c r="O57" s="10"/>
    </row>
    <row r="58" spans="1:19">
      <c r="J58" s="98">
        <v>25564.5</v>
      </c>
      <c r="K58" s="94">
        <v>0</v>
      </c>
      <c r="L58" s="95">
        <f t="shared" si="11"/>
        <v>25564.5</v>
      </c>
      <c r="M58" s="15" t="s">
        <v>179</v>
      </c>
    </row>
    <row r="59" spans="1:19">
      <c r="J59" s="98">
        <v>29523.759999999998</v>
      </c>
      <c r="K59" s="94">
        <f>55.05+60.45+65.84</f>
        <v>181.34</v>
      </c>
      <c r="L59" s="95">
        <f t="shared" si="11"/>
        <v>29705.1</v>
      </c>
      <c r="M59" s="15" t="s">
        <v>180</v>
      </c>
    </row>
    <row r="60" spans="1:19">
      <c r="J60" s="94">
        <f ca="1">SUM(J53:J60)</f>
        <v>200480.54</v>
      </c>
      <c r="K60" s="94">
        <f ca="1">SUM(K53:K60)</f>
        <v>181.34</v>
      </c>
      <c r="L60" s="147">
        <f ca="1">SUM(L53:L60)</f>
        <v>200661.88</v>
      </c>
      <c r="M60" s="148" t="s">
        <v>170</v>
      </c>
    </row>
    <row r="61" spans="1:19">
      <c r="D61" s="10"/>
    </row>
    <row r="63" spans="1:19">
      <c r="K63" t="s">
        <v>181</v>
      </c>
    </row>
    <row r="70" spans="1:21" hidden="1">
      <c r="A70" s="98">
        <v>444.6</v>
      </c>
      <c r="B70" s="94"/>
      <c r="C70" s="95">
        <f>A70+B70</f>
        <v>444.6</v>
      </c>
      <c r="D70" s="15" t="s">
        <v>182</v>
      </c>
    </row>
    <row r="78" spans="1:21">
      <c r="R78" s="71"/>
    </row>
    <row r="79" spans="1:21">
      <c r="R79" s="104"/>
      <c r="S79" s="12"/>
      <c r="T79" s="12"/>
      <c r="U79" s="12"/>
    </row>
    <row r="80" spans="1:21">
      <c r="R80" s="104"/>
      <c r="S80" s="12"/>
      <c r="T80" s="12"/>
      <c r="U80" s="12"/>
    </row>
    <row r="81" spans="18:21">
      <c r="R81" s="104"/>
      <c r="S81" s="12"/>
      <c r="T81" s="12"/>
      <c r="U81" s="12"/>
    </row>
    <row r="125" spans="10:11">
      <c r="J125" s="16">
        <v>22514.55</v>
      </c>
      <c r="K125" s="15" t="s">
        <v>183</v>
      </c>
    </row>
    <row r="126" spans="10:11">
      <c r="J126" s="16">
        <v>24399.65</v>
      </c>
      <c r="K126" s="15" t="s">
        <v>184</v>
      </c>
    </row>
  </sheetData>
  <autoFilter ref="A1:U50" xr:uid="{00000000-0009-0000-0000-000000000000}">
    <filterColumn colId="6">
      <filters>
        <dateGroupItem year="2021" month="7" dateTimeGrouping="month"/>
      </filters>
    </filterColumn>
  </autoFilter>
  <mergeCells count="1">
    <mergeCell ref="G54:I54"/>
  </mergeCells>
  <conditionalFormatting sqref="B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90"/>
  <sheetViews>
    <sheetView topLeftCell="A43" zoomScaleNormal="100" workbookViewId="0">
      <selection activeCell="U60" sqref="U60"/>
    </sheetView>
  </sheetViews>
  <sheetFormatPr defaultColWidth="9.44140625" defaultRowHeight="14.4"/>
  <cols>
    <col min="1" max="1" width="13.88671875" style="71" customWidth="1"/>
    <col min="2" max="2" width="12.6640625" customWidth="1"/>
    <col min="3" max="3" width="16" customWidth="1"/>
    <col min="4" max="4" width="32.44140625" customWidth="1"/>
    <col min="5" max="5" width="14.88671875" hidden="1" customWidth="1"/>
    <col min="6" max="6" width="10.6640625" hidden="1" customWidth="1"/>
    <col min="7" max="7" width="13" customWidth="1"/>
    <col min="8" max="8" width="13.44140625" hidden="1" customWidth="1"/>
    <col min="9" max="9" width="14.5546875" hidden="1" customWidth="1"/>
    <col min="10" max="10" width="13.88671875" style="71" hidden="1" customWidth="1"/>
    <col min="11" max="11" width="9.109375" style="72" customWidth="1"/>
    <col min="12" max="12" width="9.5546875" style="72" customWidth="1"/>
    <col min="13" max="13" width="10.88671875" style="72" customWidth="1"/>
    <col min="14" max="14" width="9.33203125" style="72" customWidth="1"/>
    <col min="15" max="15" width="11.88671875" style="72" customWidth="1"/>
    <col min="16" max="16" width="9.33203125" style="72" customWidth="1"/>
    <col min="17" max="17" width="9.33203125" style="72" bestFit="1" customWidth="1"/>
    <col min="18" max="18" width="9.33203125" style="72" hidden="1" customWidth="1"/>
    <col min="19" max="19" width="13.44140625" style="72" customWidth="1"/>
    <col min="20" max="20" width="11.33203125" style="72" hidden="1" customWidth="1"/>
    <col min="21" max="21" width="11.33203125" style="72" customWidth="1"/>
    <col min="22" max="22" width="11.33203125" style="72" hidden="1" customWidth="1"/>
    <col min="23" max="23" width="14.5546875" style="71" bestFit="1" customWidth="1"/>
    <col min="24" max="24" width="16.109375" style="71" customWidth="1"/>
    <col min="25" max="25" width="11.44140625" style="71" customWidth="1"/>
    <col min="26" max="26" width="13.44140625" style="71" customWidth="1"/>
    <col min="27" max="27" width="34" customWidth="1"/>
    <col min="28" max="28" width="44.44140625" customWidth="1"/>
  </cols>
  <sheetData>
    <row r="1" spans="1:29" ht="57.6">
      <c r="A1" s="7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73" t="s">
        <v>6</v>
      </c>
      <c r="H1" s="73" t="s">
        <v>7</v>
      </c>
      <c r="I1" s="73" t="s">
        <v>185</v>
      </c>
      <c r="J1" s="73" t="s">
        <v>186</v>
      </c>
      <c r="K1" s="81" t="s">
        <v>187</v>
      </c>
      <c r="L1" s="81" t="s">
        <v>188</v>
      </c>
      <c r="M1" s="81" t="s">
        <v>189</v>
      </c>
      <c r="N1" s="81" t="s">
        <v>190</v>
      </c>
      <c r="O1" s="81" t="s">
        <v>191</v>
      </c>
      <c r="P1" s="81" t="s">
        <v>192</v>
      </c>
      <c r="Q1" s="81" t="s">
        <v>8</v>
      </c>
      <c r="R1" s="81" t="s">
        <v>383</v>
      </c>
      <c r="S1" s="81" t="s">
        <v>9</v>
      </c>
      <c r="T1" s="81" t="s">
        <v>382</v>
      </c>
      <c r="U1" s="81" t="s">
        <v>380</v>
      </c>
      <c r="V1" s="81" t="s">
        <v>384</v>
      </c>
      <c r="W1" s="73" t="s">
        <v>193</v>
      </c>
      <c r="X1" s="73" t="s">
        <v>15</v>
      </c>
      <c r="Y1" s="73" t="s">
        <v>16</v>
      </c>
      <c r="Z1" s="73" t="s">
        <v>17</v>
      </c>
    </row>
    <row r="2" spans="1:29">
      <c r="A2" s="133">
        <v>100036</v>
      </c>
      <c r="B2" s="4" t="s">
        <v>19</v>
      </c>
      <c r="C2" s="4" t="s">
        <v>20</v>
      </c>
      <c r="D2" s="4" t="s">
        <v>21</v>
      </c>
      <c r="E2" s="5">
        <v>50000</v>
      </c>
      <c r="F2" s="6">
        <v>44252</v>
      </c>
      <c r="G2" s="6">
        <v>44378</v>
      </c>
      <c r="H2" s="163">
        <v>889.2</v>
      </c>
      <c r="I2" s="16">
        <v>5335.2</v>
      </c>
      <c r="J2" s="82">
        <f>E2-I2</f>
        <v>44664.800000000003</v>
      </c>
      <c r="K2" s="83">
        <v>889.2</v>
      </c>
      <c r="L2" s="83">
        <v>889.2</v>
      </c>
      <c r="M2" s="83">
        <v>889.2</v>
      </c>
      <c r="N2" s="83">
        <v>889.2</v>
      </c>
      <c r="O2" s="83">
        <v>889.2</v>
      </c>
      <c r="P2" s="87">
        <v>889.2</v>
      </c>
      <c r="Q2" s="83">
        <v>758.1</v>
      </c>
      <c r="R2" s="83">
        <v>131.1</v>
      </c>
      <c r="S2" s="83">
        <v>760.63</v>
      </c>
      <c r="T2" s="83">
        <v>128.57</v>
      </c>
      <c r="U2" s="83">
        <v>763.16</v>
      </c>
      <c r="V2" s="83">
        <v>126.04</v>
      </c>
      <c r="W2" s="101">
        <f>K2+L2+M2+N2+O2+P2+Q2+S2+U2</f>
        <v>7617.09</v>
      </c>
      <c r="X2" s="101">
        <f>E2-I2-W2</f>
        <v>37047.710000000006</v>
      </c>
      <c r="Y2" s="101" t="str">
        <f>IF(Z2=0,"current","Not Current")</f>
        <v>current</v>
      </c>
      <c r="Z2" s="102">
        <f>H2*9-(K2+L2+M2+N2+O2+P2+Q2+R2+T2+V2+S2+U2)</f>
        <v>0</v>
      </c>
    </row>
    <row r="3" spans="1:29">
      <c r="A3" s="133">
        <v>100039</v>
      </c>
      <c r="B3" s="4" t="s">
        <v>22</v>
      </c>
      <c r="C3" s="4" t="s">
        <v>23</v>
      </c>
      <c r="D3" s="4" t="s">
        <v>24</v>
      </c>
      <c r="E3" s="5">
        <v>20000</v>
      </c>
      <c r="F3" s="6">
        <v>44252</v>
      </c>
      <c r="G3" s="6">
        <v>44378</v>
      </c>
      <c r="H3" s="7">
        <v>355.68</v>
      </c>
      <c r="I3" s="16">
        <v>2134.08</v>
      </c>
      <c r="J3" s="82">
        <f t="shared" ref="J3:J49" si="0">E3-I3</f>
        <v>17865.919999999998</v>
      </c>
      <c r="K3" s="84">
        <v>355.68</v>
      </c>
      <c r="L3" s="83">
        <v>355.68</v>
      </c>
      <c r="M3" s="83">
        <v>355.68</v>
      </c>
      <c r="N3" s="83">
        <v>355.68</v>
      </c>
      <c r="O3" s="83">
        <v>355.68</v>
      </c>
      <c r="P3" s="87">
        <v>355.68</v>
      </c>
      <c r="Q3" s="83">
        <f>355.68-R3</f>
        <v>303.24</v>
      </c>
      <c r="R3" s="83">
        <v>52.44</v>
      </c>
      <c r="S3" s="83">
        <f>355.68-T3</f>
        <v>304.25</v>
      </c>
      <c r="T3" s="83">
        <v>51.43</v>
      </c>
      <c r="U3" s="83">
        <f>355.68-V3</f>
        <v>305.27</v>
      </c>
      <c r="V3" s="83">
        <v>50.41</v>
      </c>
      <c r="W3" s="106">
        <f t="shared" ref="W3:W47" si="1">K3+L3+M3+N3+O3+P3+Q3+S3+U3</f>
        <v>3046.8399999999997</v>
      </c>
      <c r="X3" s="101">
        <f t="shared" ref="X2:X46" si="2">E3-I3-W3</f>
        <v>14819.079999999998</v>
      </c>
      <c r="Y3" s="101" t="str">
        <f t="shared" ref="Y3:Y47" si="3">IF(Z3=0,"current","Not Current")</f>
        <v>current</v>
      </c>
      <c r="Z3" s="102">
        <f t="shared" ref="Z3:Z42" si="4">H3*9-(K3+L3+M3+N3+O3+P3+Q3+R3+T3+V3+S3+U3)</f>
        <v>0</v>
      </c>
    </row>
    <row r="4" spans="1:29">
      <c r="A4" s="133">
        <v>100203</v>
      </c>
      <c r="B4" s="4" t="s">
        <v>25</v>
      </c>
      <c r="C4" s="4" t="s">
        <v>26</v>
      </c>
      <c r="D4" s="4" t="s">
        <v>27</v>
      </c>
      <c r="E4" s="5">
        <v>50000</v>
      </c>
      <c r="F4" s="6">
        <v>44273</v>
      </c>
      <c r="G4" s="6">
        <v>44378</v>
      </c>
      <c r="H4" s="7">
        <v>889.2</v>
      </c>
      <c r="I4" s="16">
        <v>5335.2</v>
      </c>
      <c r="J4" s="82">
        <f t="shared" si="0"/>
        <v>44664.800000000003</v>
      </c>
      <c r="K4" s="84">
        <v>889.2</v>
      </c>
      <c r="L4" s="84">
        <v>889.2</v>
      </c>
      <c r="M4" s="84">
        <v>889.2</v>
      </c>
      <c r="N4" s="83">
        <v>889.2</v>
      </c>
      <c r="O4" s="83">
        <v>889.2</v>
      </c>
      <c r="P4" s="87">
        <v>889.2</v>
      </c>
      <c r="Q4" s="83">
        <v>758.1</v>
      </c>
      <c r="R4" s="83">
        <v>131.1</v>
      </c>
      <c r="S4" s="83">
        <v>760.63</v>
      </c>
      <c r="T4" s="83">
        <v>128.57</v>
      </c>
      <c r="U4" s="83">
        <v>763.16</v>
      </c>
      <c r="V4" s="83">
        <v>126.04</v>
      </c>
      <c r="W4" s="106">
        <f t="shared" si="1"/>
        <v>7617.09</v>
      </c>
      <c r="X4" s="101">
        <f t="shared" si="2"/>
        <v>37047.710000000006</v>
      </c>
      <c r="Y4" s="101" t="str">
        <f t="shared" si="3"/>
        <v>current</v>
      </c>
      <c r="Z4" s="102">
        <f t="shared" si="4"/>
        <v>0</v>
      </c>
    </row>
    <row r="5" spans="1:29">
      <c r="A5" s="133">
        <v>100206</v>
      </c>
      <c r="B5" s="4" t="s">
        <v>28</v>
      </c>
      <c r="C5" s="4" t="s">
        <v>29</v>
      </c>
      <c r="D5" s="4" t="s">
        <v>30</v>
      </c>
      <c r="E5" s="5">
        <v>6000</v>
      </c>
      <c r="F5" s="6">
        <v>44252</v>
      </c>
      <c r="G5" s="6">
        <v>44378</v>
      </c>
      <c r="H5" s="7">
        <v>106.7</v>
      </c>
      <c r="I5" s="16">
        <v>640.20000000000005</v>
      </c>
      <c r="J5" s="82">
        <f t="shared" si="0"/>
        <v>5359.8</v>
      </c>
      <c r="K5" s="84">
        <v>106.7</v>
      </c>
      <c r="L5" s="84">
        <v>106.7</v>
      </c>
      <c r="M5" s="84">
        <v>106.7</v>
      </c>
      <c r="N5" s="83">
        <v>106.7</v>
      </c>
      <c r="O5" s="83">
        <v>106.7</v>
      </c>
      <c r="P5" s="87">
        <v>106.7</v>
      </c>
      <c r="Q5" s="83">
        <v>90.97</v>
      </c>
      <c r="R5" s="83">
        <v>15.73</v>
      </c>
      <c r="S5" s="83">
        <v>91.27</v>
      </c>
      <c r="T5" s="83">
        <v>15.43</v>
      </c>
      <c r="U5" s="83">
        <v>91.58</v>
      </c>
      <c r="V5" s="83">
        <v>15.12</v>
      </c>
      <c r="W5" s="106">
        <f t="shared" si="1"/>
        <v>914.0200000000001</v>
      </c>
      <c r="X5" s="101">
        <f t="shared" si="2"/>
        <v>4445.78</v>
      </c>
      <c r="Y5" s="101" t="str">
        <f t="shared" si="3"/>
        <v>current</v>
      </c>
      <c r="Z5" s="102">
        <f t="shared" si="4"/>
        <v>0</v>
      </c>
    </row>
    <row r="6" spans="1:29">
      <c r="A6" s="133">
        <v>100251</v>
      </c>
      <c r="B6" s="4" t="s">
        <v>22</v>
      </c>
      <c r="C6" s="4" t="s">
        <v>32</v>
      </c>
      <c r="D6" s="4" t="s">
        <v>33</v>
      </c>
      <c r="E6" s="5">
        <v>50000</v>
      </c>
      <c r="F6" s="6">
        <v>44252</v>
      </c>
      <c r="G6" s="6">
        <v>44378</v>
      </c>
      <c r="H6" s="7">
        <v>889.2</v>
      </c>
      <c r="I6" s="16">
        <v>5345.2</v>
      </c>
      <c r="J6" s="82">
        <f t="shared" si="0"/>
        <v>44654.8</v>
      </c>
      <c r="K6" s="84">
        <v>889.2</v>
      </c>
      <c r="L6" s="84">
        <v>889.2</v>
      </c>
      <c r="M6" s="84">
        <v>889.2</v>
      </c>
      <c r="N6" s="83">
        <v>889.2</v>
      </c>
      <c r="O6" s="83">
        <v>889.2</v>
      </c>
      <c r="P6" s="87">
        <v>889.2</v>
      </c>
      <c r="Q6" s="83">
        <v>758.1</v>
      </c>
      <c r="R6" s="83">
        <v>131.1</v>
      </c>
      <c r="S6" s="83">
        <v>760.63</v>
      </c>
      <c r="T6" s="83">
        <v>128.57</v>
      </c>
      <c r="U6" s="83">
        <v>763.16</v>
      </c>
      <c r="V6" s="83">
        <v>126.04</v>
      </c>
      <c r="W6" s="106">
        <f t="shared" si="1"/>
        <v>7617.09</v>
      </c>
      <c r="X6" s="101">
        <f t="shared" si="2"/>
        <v>37037.710000000006</v>
      </c>
      <c r="Y6" s="101" t="str">
        <f t="shared" si="3"/>
        <v>current</v>
      </c>
      <c r="Z6" s="102">
        <f t="shared" si="4"/>
        <v>0</v>
      </c>
    </row>
    <row r="7" spans="1:29">
      <c r="A7" s="133">
        <v>100269</v>
      </c>
      <c r="B7" s="4" t="s">
        <v>36</v>
      </c>
      <c r="C7" s="4" t="s">
        <v>37</v>
      </c>
      <c r="D7" s="4" t="s">
        <v>38</v>
      </c>
      <c r="E7" s="5">
        <v>12000</v>
      </c>
      <c r="F7" s="6">
        <v>44252</v>
      </c>
      <c r="G7" s="6">
        <v>44378</v>
      </c>
      <c r="H7" s="7">
        <v>213.41</v>
      </c>
      <c r="I7" s="16">
        <v>1067.05</v>
      </c>
      <c r="J7" s="82">
        <f t="shared" si="0"/>
        <v>10932.95</v>
      </c>
      <c r="K7" s="85"/>
      <c r="L7" s="86"/>
      <c r="M7" s="83">
        <v>213.41</v>
      </c>
      <c r="N7" s="86"/>
      <c r="O7" s="86"/>
      <c r="P7" s="86"/>
      <c r="Q7" s="86"/>
      <c r="R7" s="86"/>
      <c r="S7" s="86"/>
      <c r="T7" s="86"/>
      <c r="U7" s="86"/>
      <c r="V7" s="86"/>
      <c r="W7" s="106">
        <f t="shared" si="1"/>
        <v>213.41</v>
      </c>
      <c r="X7" s="101">
        <f t="shared" si="2"/>
        <v>10719.54</v>
      </c>
      <c r="Y7" s="103" t="str">
        <f t="shared" si="3"/>
        <v>Not Current</v>
      </c>
      <c r="Z7" s="105">
        <f>H7*9-(K7+L7+M7+N7+O7+P7+Q7+S7+U7)+213.41</f>
        <v>1920.69</v>
      </c>
      <c r="AB7" s="104"/>
      <c r="AC7" s="104"/>
    </row>
    <row r="8" spans="1:29">
      <c r="A8" s="133">
        <v>100310</v>
      </c>
      <c r="B8" s="4" t="s">
        <v>40</v>
      </c>
      <c r="C8" s="4" t="s">
        <v>41</v>
      </c>
      <c r="D8" s="4" t="s">
        <v>42</v>
      </c>
      <c r="E8" s="5">
        <v>50000</v>
      </c>
      <c r="F8" s="6">
        <v>44252</v>
      </c>
      <c r="G8" s="6">
        <v>44378</v>
      </c>
      <c r="H8" s="7">
        <v>889.2</v>
      </c>
      <c r="I8" s="16">
        <v>5335.2</v>
      </c>
      <c r="J8" s="82">
        <f t="shared" si="0"/>
        <v>44664.800000000003</v>
      </c>
      <c r="K8" s="84">
        <v>889.2</v>
      </c>
      <c r="L8" s="84">
        <v>889.2</v>
      </c>
      <c r="M8" s="84">
        <v>889.2</v>
      </c>
      <c r="N8" s="83">
        <v>889.2</v>
      </c>
      <c r="O8" s="83">
        <v>889.2</v>
      </c>
      <c r="P8" s="87">
        <v>889.2</v>
      </c>
      <c r="Q8" s="83">
        <v>758.1</v>
      </c>
      <c r="R8" s="83">
        <v>131.1</v>
      </c>
      <c r="S8" s="83">
        <v>760.63</v>
      </c>
      <c r="T8" s="83">
        <v>128.57</v>
      </c>
      <c r="U8" s="83">
        <v>763.16</v>
      </c>
      <c r="V8" s="83">
        <v>126.04</v>
      </c>
      <c r="W8" s="106">
        <f t="shared" si="1"/>
        <v>7617.09</v>
      </c>
      <c r="X8" s="101">
        <f t="shared" si="2"/>
        <v>37047.710000000006</v>
      </c>
      <c r="Y8" s="101" t="str">
        <f t="shared" si="3"/>
        <v>current</v>
      </c>
      <c r="Z8" s="102">
        <f t="shared" si="4"/>
        <v>0</v>
      </c>
      <c r="AB8" s="104"/>
      <c r="AC8" s="104"/>
    </row>
    <row r="9" spans="1:29">
      <c r="A9" s="133">
        <v>100385</v>
      </c>
      <c r="B9" s="4" t="s">
        <v>43</v>
      </c>
      <c r="C9" s="4" t="s">
        <v>44</v>
      </c>
      <c r="D9" s="4" t="s">
        <v>45</v>
      </c>
      <c r="E9" s="5">
        <v>50000</v>
      </c>
      <c r="F9" s="6">
        <v>44252</v>
      </c>
      <c r="G9" s="6">
        <v>44378</v>
      </c>
      <c r="H9" s="7">
        <v>889.2</v>
      </c>
      <c r="I9" s="16">
        <v>5335.2</v>
      </c>
      <c r="J9" s="82">
        <f t="shared" si="0"/>
        <v>44664.800000000003</v>
      </c>
      <c r="K9" s="84">
        <v>889.2</v>
      </c>
      <c r="L9" s="83">
        <v>889.2</v>
      </c>
      <c r="M9" s="87">
        <v>889.2</v>
      </c>
      <c r="N9" s="87">
        <v>889.2</v>
      </c>
      <c r="O9" s="87">
        <v>889.2</v>
      </c>
      <c r="P9" s="87">
        <v>889.2</v>
      </c>
      <c r="Q9" s="83">
        <v>758.1</v>
      </c>
      <c r="R9" s="83">
        <v>131.1</v>
      </c>
      <c r="S9" s="83">
        <v>760.63</v>
      </c>
      <c r="T9" s="83">
        <v>128.57</v>
      </c>
      <c r="U9" s="83">
        <v>763.16</v>
      </c>
      <c r="V9" s="83">
        <v>126.04</v>
      </c>
      <c r="W9" s="106">
        <f t="shared" si="1"/>
        <v>7617.09</v>
      </c>
      <c r="X9" s="101">
        <f t="shared" si="2"/>
        <v>37047.710000000006</v>
      </c>
      <c r="Y9" s="101" t="str">
        <f t="shared" si="3"/>
        <v>current</v>
      </c>
      <c r="Z9" s="102">
        <f t="shared" si="4"/>
        <v>0</v>
      </c>
      <c r="AB9" s="104"/>
      <c r="AC9" s="104"/>
    </row>
    <row r="10" spans="1:29">
      <c r="A10" s="133">
        <v>100422</v>
      </c>
      <c r="B10" s="4" t="s">
        <v>46</v>
      </c>
      <c r="C10" s="4" t="s">
        <v>47</v>
      </c>
      <c r="D10" s="4" t="s">
        <v>48</v>
      </c>
      <c r="E10" s="5">
        <v>45000</v>
      </c>
      <c r="F10" s="6">
        <v>44252</v>
      </c>
      <c r="G10" s="6">
        <v>44378</v>
      </c>
      <c r="H10" s="7">
        <v>800.28</v>
      </c>
      <c r="I10" s="16">
        <v>4801.68</v>
      </c>
      <c r="J10" s="82">
        <f t="shared" si="0"/>
        <v>40198.32</v>
      </c>
      <c r="K10" s="84">
        <v>800.28</v>
      </c>
      <c r="L10" s="87">
        <v>800.28</v>
      </c>
      <c r="M10" s="87">
        <v>800.28</v>
      </c>
      <c r="N10" s="87">
        <v>800.28</v>
      </c>
      <c r="O10" s="87">
        <v>800.28</v>
      </c>
      <c r="P10" s="87">
        <v>800.28</v>
      </c>
      <c r="Q10" s="87">
        <v>682.29</v>
      </c>
      <c r="R10" s="87">
        <v>117.99</v>
      </c>
      <c r="S10" s="87">
        <f>684.57</f>
        <v>684.57</v>
      </c>
      <c r="T10" s="87">
        <v>115.71</v>
      </c>
      <c r="U10" s="87">
        <v>686.85</v>
      </c>
      <c r="V10" s="87">
        <v>113.43</v>
      </c>
      <c r="W10" s="106">
        <f t="shared" si="1"/>
        <v>6855.3899999999994</v>
      </c>
      <c r="X10" s="101">
        <f t="shared" si="2"/>
        <v>33342.93</v>
      </c>
      <c r="Y10" s="106" t="str">
        <f t="shared" si="3"/>
        <v>current</v>
      </c>
      <c r="Z10" s="102">
        <f>H10*9-(K10+L10+M10+N10+O10+P10+Q10+R10+T10+V10+S10+U10)</f>
        <v>0</v>
      </c>
      <c r="AA10" s="184" t="s">
        <v>385</v>
      </c>
    </row>
    <row r="11" spans="1:29">
      <c r="A11" s="133">
        <v>100037</v>
      </c>
      <c r="B11" s="4" t="s">
        <v>49</v>
      </c>
      <c r="C11" s="4" t="s">
        <v>50</v>
      </c>
      <c r="D11" s="4" t="s">
        <v>51</v>
      </c>
      <c r="E11" s="5">
        <v>32000</v>
      </c>
      <c r="F11" s="6">
        <v>44259</v>
      </c>
      <c r="G11" s="6">
        <v>44378</v>
      </c>
      <c r="H11" s="7">
        <v>569.09</v>
      </c>
      <c r="I11" s="16">
        <v>3414.54</v>
      </c>
      <c r="J11" s="82">
        <f t="shared" si="0"/>
        <v>28585.46</v>
      </c>
      <c r="K11" s="84">
        <v>569.09</v>
      </c>
      <c r="L11" s="83">
        <v>569.09</v>
      </c>
      <c r="M11" s="83">
        <v>569.09</v>
      </c>
      <c r="N11" s="83">
        <v>569.09</v>
      </c>
      <c r="O11" s="83">
        <v>569.09</v>
      </c>
      <c r="P11" s="87">
        <v>569.09</v>
      </c>
      <c r="Q11" s="87">
        <v>485.19</v>
      </c>
      <c r="R11" s="87">
        <v>83.9</v>
      </c>
      <c r="S11" s="87">
        <v>486.8</v>
      </c>
      <c r="T11" s="87">
        <v>82.29</v>
      </c>
      <c r="U11" s="87">
        <v>488.43</v>
      </c>
      <c r="V11" s="87">
        <v>80.66</v>
      </c>
      <c r="W11" s="106">
        <f t="shared" si="1"/>
        <v>4874.9600000000009</v>
      </c>
      <c r="X11" s="101">
        <f t="shared" si="2"/>
        <v>23710.5</v>
      </c>
      <c r="Y11" s="101" t="str">
        <f t="shared" si="3"/>
        <v>current</v>
      </c>
      <c r="Z11" s="102">
        <f t="shared" si="4"/>
        <v>0</v>
      </c>
    </row>
    <row r="12" spans="1:29">
      <c r="A12" s="133">
        <v>100047</v>
      </c>
      <c r="B12" s="4" t="s">
        <v>52</v>
      </c>
      <c r="C12" s="4" t="s">
        <v>53</v>
      </c>
      <c r="D12" s="4" t="s">
        <v>54</v>
      </c>
      <c r="E12" s="5">
        <v>20000</v>
      </c>
      <c r="F12" s="6">
        <v>44259</v>
      </c>
      <c r="G12" s="6">
        <v>44378</v>
      </c>
      <c r="H12" s="7">
        <v>355.68</v>
      </c>
      <c r="I12" s="16">
        <v>2134.08</v>
      </c>
      <c r="J12" s="82">
        <f t="shared" si="0"/>
        <v>17865.919999999998</v>
      </c>
      <c r="K12" s="84">
        <v>355.68</v>
      </c>
      <c r="L12" s="83">
        <v>355.68</v>
      </c>
      <c r="M12" s="83">
        <v>355.68</v>
      </c>
      <c r="N12" s="83">
        <v>355.68</v>
      </c>
      <c r="O12" s="83">
        <v>355.68</v>
      </c>
      <c r="P12" s="87">
        <v>355.68</v>
      </c>
      <c r="Q12" s="87">
        <f>355.68-R12</f>
        <v>303.24</v>
      </c>
      <c r="R12" s="83">
        <v>52.44</v>
      </c>
      <c r="S12" s="87">
        <f>355.68-T12</f>
        <v>304.25</v>
      </c>
      <c r="T12" s="83">
        <v>51.43</v>
      </c>
      <c r="U12" s="87">
        <f>355.68-V12</f>
        <v>305.27</v>
      </c>
      <c r="V12" s="83">
        <v>50.41</v>
      </c>
      <c r="W12" s="106">
        <f t="shared" si="1"/>
        <v>3046.8399999999997</v>
      </c>
      <c r="X12" s="101">
        <f t="shared" si="2"/>
        <v>14819.079999999998</v>
      </c>
      <c r="Y12" s="101" t="str">
        <f t="shared" si="3"/>
        <v>current</v>
      </c>
      <c r="Z12" s="102">
        <f t="shared" si="4"/>
        <v>0</v>
      </c>
    </row>
    <row r="13" spans="1:29">
      <c r="A13" s="133">
        <v>100070</v>
      </c>
      <c r="B13" s="4" t="s">
        <v>55</v>
      </c>
      <c r="C13" s="4" t="s">
        <v>56</v>
      </c>
      <c r="D13" s="4" t="s">
        <v>57</v>
      </c>
      <c r="E13" s="5">
        <v>50000</v>
      </c>
      <c r="F13" s="6">
        <v>44271</v>
      </c>
      <c r="G13" s="6">
        <v>44378</v>
      </c>
      <c r="H13" s="7">
        <v>889.2</v>
      </c>
      <c r="I13" s="16">
        <v>5335.2</v>
      </c>
      <c r="J13" s="82">
        <f t="shared" si="0"/>
        <v>44664.800000000003</v>
      </c>
      <c r="K13" s="84">
        <v>889.2</v>
      </c>
      <c r="L13" s="83">
        <v>889.2</v>
      </c>
      <c r="M13" s="83">
        <v>889.2</v>
      </c>
      <c r="N13" s="83">
        <v>889.2</v>
      </c>
      <c r="O13" s="83">
        <v>889.2</v>
      </c>
      <c r="P13" s="87">
        <v>889.2</v>
      </c>
      <c r="Q13" s="83">
        <v>758.1</v>
      </c>
      <c r="R13" s="83">
        <v>131.1</v>
      </c>
      <c r="S13" s="83">
        <v>760.63</v>
      </c>
      <c r="T13" s="83">
        <v>128.57</v>
      </c>
      <c r="U13" s="83">
        <v>763.16</v>
      </c>
      <c r="V13" s="83">
        <v>126.04</v>
      </c>
      <c r="W13" s="106">
        <f t="shared" si="1"/>
        <v>7617.09</v>
      </c>
      <c r="X13" s="101">
        <f t="shared" si="2"/>
        <v>37047.710000000006</v>
      </c>
      <c r="Y13" s="101" t="str">
        <f t="shared" si="3"/>
        <v>current</v>
      </c>
      <c r="Z13" s="102">
        <f t="shared" si="4"/>
        <v>0</v>
      </c>
    </row>
    <row r="14" spans="1:29">
      <c r="A14" s="133">
        <v>100109</v>
      </c>
      <c r="B14" s="4" t="s">
        <v>62</v>
      </c>
      <c r="C14" s="4" t="s">
        <v>63</v>
      </c>
      <c r="D14" s="4" t="s">
        <v>64</v>
      </c>
      <c r="E14" s="5">
        <v>50000</v>
      </c>
      <c r="F14" s="6">
        <v>44259</v>
      </c>
      <c r="G14" s="6">
        <v>44378</v>
      </c>
      <c r="H14" s="7">
        <v>889.2</v>
      </c>
      <c r="I14" s="16">
        <v>5335.2</v>
      </c>
      <c r="J14" s="82">
        <f t="shared" si="0"/>
        <v>44664.800000000003</v>
      </c>
      <c r="K14" s="84">
        <v>889.2</v>
      </c>
      <c r="L14" s="83">
        <v>889.2</v>
      </c>
      <c r="M14" s="83">
        <v>889.2</v>
      </c>
      <c r="N14" s="83">
        <v>889.2</v>
      </c>
      <c r="O14" s="83">
        <v>889.2</v>
      </c>
      <c r="P14" s="87">
        <v>889.2</v>
      </c>
      <c r="Q14" s="83">
        <v>758.1</v>
      </c>
      <c r="R14" s="83">
        <v>131.1</v>
      </c>
      <c r="S14" s="83">
        <v>760.63</v>
      </c>
      <c r="T14" s="83">
        <v>128.57</v>
      </c>
      <c r="U14" s="83">
        <v>763.16</v>
      </c>
      <c r="V14" s="83">
        <v>126.04</v>
      </c>
      <c r="W14" s="106">
        <f t="shared" si="1"/>
        <v>7617.09</v>
      </c>
      <c r="X14" s="101">
        <f t="shared" si="2"/>
        <v>37047.710000000006</v>
      </c>
      <c r="Y14" s="101" t="str">
        <f t="shared" si="3"/>
        <v>current</v>
      </c>
      <c r="Z14" s="102">
        <f t="shared" si="4"/>
        <v>0</v>
      </c>
    </row>
    <row r="15" spans="1:29">
      <c r="A15" s="133">
        <v>100139</v>
      </c>
      <c r="B15" s="4" t="s">
        <v>65</v>
      </c>
      <c r="C15" s="4" t="s">
        <v>66</v>
      </c>
      <c r="D15" s="4" t="s">
        <v>67</v>
      </c>
      <c r="E15" s="5">
        <v>50000</v>
      </c>
      <c r="F15" s="6">
        <v>44259</v>
      </c>
      <c r="G15" s="6">
        <v>44378</v>
      </c>
      <c r="H15" s="7">
        <v>889.2</v>
      </c>
      <c r="I15" s="16">
        <v>5335.2</v>
      </c>
      <c r="J15" s="82">
        <f t="shared" si="0"/>
        <v>44664.800000000003</v>
      </c>
      <c r="K15" s="84">
        <v>889.2</v>
      </c>
      <c r="L15" s="83">
        <v>889.2</v>
      </c>
      <c r="M15" s="83">
        <v>889.2</v>
      </c>
      <c r="N15" s="83">
        <v>889.2</v>
      </c>
      <c r="O15" s="83">
        <v>889.2</v>
      </c>
      <c r="P15" s="87">
        <v>889.2</v>
      </c>
      <c r="Q15" s="83">
        <v>758.1</v>
      </c>
      <c r="R15" s="83">
        <v>131.1</v>
      </c>
      <c r="S15" s="83">
        <v>760.63</v>
      </c>
      <c r="T15" s="83">
        <v>128.57</v>
      </c>
      <c r="U15" s="83">
        <v>763.16</v>
      </c>
      <c r="V15" s="83">
        <v>126.04</v>
      </c>
      <c r="W15" s="106">
        <f t="shared" si="1"/>
        <v>7617.09</v>
      </c>
      <c r="X15" s="101">
        <f t="shared" si="2"/>
        <v>37047.710000000006</v>
      </c>
      <c r="Y15" s="101" t="str">
        <f t="shared" si="3"/>
        <v>current</v>
      </c>
      <c r="Z15" s="102">
        <f t="shared" si="4"/>
        <v>0</v>
      </c>
    </row>
    <row r="16" spans="1:29">
      <c r="A16" s="133">
        <v>100154</v>
      </c>
      <c r="B16" s="4" t="s">
        <v>68</v>
      </c>
      <c r="C16" s="4" t="s">
        <v>69</v>
      </c>
      <c r="D16" s="4" t="s">
        <v>70</v>
      </c>
      <c r="E16" s="5">
        <v>20000</v>
      </c>
      <c r="F16" s="6">
        <v>44259</v>
      </c>
      <c r="G16" s="6">
        <v>44378</v>
      </c>
      <c r="H16" s="7">
        <v>355.68</v>
      </c>
      <c r="I16" s="16">
        <v>2134.08</v>
      </c>
      <c r="J16" s="82">
        <f t="shared" si="0"/>
        <v>17865.919999999998</v>
      </c>
      <c r="K16" s="84">
        <v>355.68</v>
      </c>
      <c r="L16" s="83">
        <v>355.68</v>
      </c>
      <c r="M16" s="83">
        <v>355.68</v>
      </c>
      <c r="N16" s="83">
        <v>355.68</v>
      </c>
      <c r="O16" s="83">
        <v>355.68</v>
      </c>
      <c r="P16" s="86"/>
      <c r="Q16" s="86"/>
      <c r="R16" s="86"/>
      <c r="S16" s="86"/>
      <c r="T16" s="86"/>
      <c r="U16" s="86"/>
      <c r="V16" s="86"/>
      <c r="W16" s="106">
        <f t="shared" si="1"/>
        <v>1778.4</v>
      </c>
      <c r="X16" s="101">
        <f t="shared" si="2"/>
        <v>16087.519999999999</v>
      </c>
      <c r="Y16" s="103" t="str">
        <f t="shared" si="3"/>
        <v>Not Current</v>
      </c>
      <c r="Z16" s="105">
        <f t="shared" si="4"/>
        <v>1422.7199999999998</v>
      </c>
    </row>
    <row r="17" spans="1:27">
      <c r="A17" s="133">
        <v>100159</v>
      </c>
      <c r="B17" s="4" t="s">
        <v>71</v>
      </c>
      <c r="C17" s="4" t="s">
        <v>72</v>
      </c>
      <c r="D17" s="4" t="s">
        <v>73</v>
      </c>
      <c r="E17" s="5">
        <v>50000</v>
      </c>
      <c r="F17" s="6">
        <v>44259</v>
      </c>
      <c r="G17" s="6">
        <v>44378</v>
      </c>
      <c r="H17" s="7">
        <v>889.2</v>
      </c>
      <c r="I17" s="16">
        <v>5335.2</v>
      </c>
      <c r="J17" s="82">
        <f t="shared" si="0"/>
        <v>44664.800000000003</v>
      </c>
      <c r="K17" s="84">
        <v>889.2</v>
      </c>
      <c r="L17" s="83">
        <v>889.2</v>
      </c>
      <c r="M17" s="83">
        <v>889.2</v>
      </c>
      <c r="N17" s="83">
        <v>889.2</v>
      </c>
      <c r="O17" s="83">
        <v>889.2</v>
      </c>
      <c r="P17" s="87">
        <v>889.2</v>
      </c>
      <c r="Q17" s="83">
        <v>758.1</v>
      </c>
      <c r="R17" s="83">
        <v>131.1</v>
      </c>
      <c r="S17" s="83">
        <v>760.63</v>
      </c>
      <c r="T17" s="83">
        <v>128.57</v>
      </c>
      <c r="U17" s="83">
        <v>763.16</v>
      </c>
      <c r="V17" s="83">
        <v>126.04</v>
      </c>
      <c r="W17" s="106">
        <f t="shared" si="1"/>
        <v>7617.09</v>
      </c>
      <c r="X17" s="101">
        <f t="shared" si="2"/>
        <v>37047.710000000006</v>
      </c>
      <c r="Y17" s="101" t="str">
        <f t="shared" si="3"/>
        <v>current</v>
      </c>
      <c r="Z17" s="102">
        <f t="shared" si="4"/>
        <v>0</v>
      </c>
    </row>
    <row r="18" spans="1:27">
      <c r="A18" s="133">
        <v>100226</v>
      </c>
      <c r="B18" s="4" t="s">
        <v>74</v>
      </c>
      <c r="C18" s="4" t="s">
        <v>75</v>
      </c>
      <c r="D18" s="4" t="s">
        <v>76</v>
      </c>
      <c r="E18" s="5">
        <v>20000</v>
      </c>
      <c r="F18" s="6">
        <v>44259</v>
      </c>
      <c r="G18" s="6">
        <v>44378</v>
      </c>
      <c r="H18" s="7">
        <v>355.68</v>
      </c>
      <c r="I18" s="16">
        <v>1422.72</v>
      </c>
      <c r="J18" s="82">
        <f t="shared" si="0"/>
        <v>18577.28</v>
      </c>
      <c r="K18" s="84">
        <f>355.68+355.68+355.68</f>
        <v>1067.04</v>
      </c>
      <c r="L18" s="83">
        <v>355.68</v>
      </c>
      <c r="M18" s="83">
        <v>355.68</v>
      </c>
      <c r="N18" s="83">
        <v>355.68</v>
      </c>
      <c r="O18" s="83">
        <v>355.68</v>
      </c>
      <c r="P18" s="87">
        <v>355.68</v>
      </c>
      <c r="Q18" s="87">
        <f>355.68-R18</f>
        <v>303.24</v>
      </c>
      <c r="R18" s="83">
        <v>52.44</v>
      </c>
      <c r="S18" s="87">
        <f>355.68-T18</f>
        <v>304.25</v>
      </c>
      <c r="T18" s="83">
        <v>51.43</v>
      </c>
      <c r="U18" s="87">
        <f>355.68-V18</f>
        <v>305.27</v>
      </c>
      <c r="V18" s="83">
        <v>50.41</v>
      </c>
      <c r="W18" s="106">
        <f t="shared" si="1"/>
        <v>3758.1999999999994</v>
      </c>
      <c r="X18" s="101">
        <f t="shared" si="2"/>
        <v>14819.08</v>
      </c>
      <c r="Y18" s="101" t="str">
        <f t="shared" si="3"/>
        <v>current</v>
      </c>
      <c r="Z18" s="185">
        <f>H18*9-(K18+L18+M18+N18+O18+P18+R18+Q18+T18+V18+S18+U18)+711.36</f>
        <v>0</v>
      </c>
    </row>
    <row r="19" spans="1:27">
      <c r="A19" s="133">
        <v>100175</v>
      </c>
      <c r="B19" s="4" t="s">
        <v>79</v>
      </c>
      <c r="C19" s="4" t="s">
        <v>80</v>
      </c>
      <c r="D19" s="4" t="s">
        <v>81</v>
      </c>
      <c r="E19" s="5">
        <v>10000</v>
      </c>
      <c r="F19" s="6">
        <v>44273</v>
      </c>
      <c r="G19" s="6">
        <v>44378</v>
      </c>
      <c r="H19" s="7">
        <v>177.84</v>
      </c>
      <c r="I19" s="16">
        <v>1067.04</v>
      </c>
      <c r="J19" s="82">
        <f t="shared" si="0"/>
        <v>8932.9599999999991</v>
      </c>
      <c r="K19" s="84">
        <v>177.84</v>
      </c>
      <c r="L19" s="83">
        <v>177.84</v>
      </c>
      <c r="M19" s="83">
        <v>177.84</v>
      </c>
      <c r="N19" s="83">
        <v>177.84</v>
      </c>
      <c r="O19" s="83">
        <v>177.84</v>
      </c>
      <c r="P19" s="87">
        <v>177.84</v>
      </c>
      <c r="Q19" s="87">
        <v>151.62</v>
      </c>
      <c r="R19" s="87">
        <v>26.22</v>
      </c>
      <c r="S19" s="87">
        <v>152.13</v>
      </c>
      <c r="T19" s="87">
        <v>25.71</v>
      </c>
      <c r="U19" s="87">
        <v>152.63</v>
      </c>
      <c r="V19" s="87">
        <v>25.21</v>
      </c>
      <c r="W19" s="106">
        <f t="shared" si="1"/>
        <v>1523.42</v>
      </c>
      <c r="X19" s="101">
        <f t="shared" si="2"/>
        <v>7409.5399999999991</v>
      </c>
      <c r="Y19" s="101" t="str">
        <f t="shared" si="3"/>
        <v>current</v>
      </c>
      <c r="Z19" s="102">
        <f t="shared" si="4"/>
        <v>0</v>
      </c>
    </row>
    <row r="20" spans="1:27">
      <c r="A20" s="133">
        <v>100309</v>
      </c>
      <c r="B20" s="4" t="s">
        <v>82</v>
      </c>
      <c r="C20" s="4" t="s">
        <v>83</v>
      </c>
      <c r="D20" s="4" t="s">
        <v>84</v>
      </c>
      <c r="E20" s="5">
        <v>15000</v>
      </c>
      <c r="F20" s="6">
        <v>44273</v>
      </c>
      <c r="G20" s="6">
        <v>44378</v>
      </c>
      <c r="H20" s="7">
        <v>266.76</v>
      </c>
      <c r="I20" s="16">
        <v>1600.56</v>
      </c>
      <c r="J20" s="82">
        <f t="shared" si="0"/>
        <v>13399.44</v>
      </c>
      <c r="K20" s="84">
        <v>266.76</v>
      </c>
      <c r="L20" s="84">
        <v>266.76</v>
      </c>
      <c r="M20" s="84">
        <v>266.76</v>
      </c>
      <c r="N20" s="83">
        <v>266.76</v>
      </c>
      <c r="O20" s="83">
        <v>266.76</v>
      </c>
      <c r="P20" s="87">
        <v>266.76</v>
      </c>
      <c r="Q20" s="87">
        <v>227.43</v>
      </c>
      <c r="R20" s="87">
        <v>39.33</v>
      </c>
      <c r="S20" s="87">
        <v>228.19</v>
      </c>
      <c r="T20" s="87">
        <v>38.57</v>
      </c>
      <c r="U20" s="87">
        <v>228.95</v>
      </c>
      <c r="V20" s="87">
        <v>37.81</v>
      </c>
      <c r="W20" s="106">
        <f t="shared" si="1"/>
        <v>2285.1299999999997</v>
      </c>
      <c r="X20" s="101">
        <f t="shared" si="2"/>
        <v>11114.310000000001</v>
      </c>
      <c r="Y20" s="101" t="str">
        <f t="shared" si="3"/>
        <v>current</v>
      </c>
      <c r="Z20" s="102">
        <f t="shared" si="4"/>
        <v>0</v>
      </c>
    </row>
    <row r="21" spans="1:27">
      <c r="A21" s="133">
        <v>100404</v>
      </c>
      <c r="B21" s="4" t="s">
        <v>89</v>
      </c>
      <c r="C21" s="4" t="s">
        <v>90</v>
      </c>
      <c r="D21" s="4" t="s">
        <v>91</v>
      </c>
      <c r="E21" s="5">
        <v>20000</v>
      </c>
      <c r="F21" s="6">
        <v>44273</v>
      </c>
      <c r="G21" s="6">
        <v>44378</v>
      </c>
      <c r="H21" s="7">
        <v>355.68</v>
      </c>
      <c r="I21" s="16">
        <v>2134.08</v>
      </c>
      <c r="J21" s="82">
        <f t="shared" si="0"/>
        <v>17865.919999999998</v>
      </c>
      <c r="K21" s="84">
        <v>355.68</v>
      </c>
      <c r="L21" s="84">
        <v>355.68</v>
      </c>
      <c r="M21" s="83">
        <v>355.68</v>
      </c>
      <c r="N21" s="83">
        <v>355.68</v>
      </c>
      <c r="O21" s="83">
        <v>355.68</v>
      </c>
      <c r="P21" s="87">
        <v>355.68</v>
      </c>
      <c r="Q21" s="87">
        <f>355.68-R21</f>
        <v>303.24</v>
      </c>
      <c r="R21" s="83">
        <v>52.44</v>
      </c>
      <c r="S21" s="87">
        <f>355.68-T21</f>
        <v>304.25</v>
      </c>
      <c r="T21" s="83">
        <v>51.43</v>
      </c>
      <c r="U21" s="87">
        <f>355.68-V21</f>
        <v>305.27</v>
      </c>
      <c r="V21" s="83">
        <v>50.41</v>
      </c>
      <c r="W21" s="106">
        <f t="shared" si="1"/>
        <v>3046.8399999999997</v>
      </c>
      <c r="X21" s="101">
        <f t="shared" si="2"/>
        <v>14819.079999999998</v>
      </c>
      <c r="Y21" s="101" t="str">
        <f t="shared" si="3"/>
        <v>current</v>
      </c>
      <c r="Z21" s="102">
        <f t="shared" si="4"/>
        <v>0</v>
      </c>
    </row>
    <row r="22" spans="1:27">
      <c r="A22" s="133">
        <v>100090</v>
      </c>
      <c r="B22" s="4" t="s">
        <v>93</v>
      </c>
      <c r="C22" s="4" t="s">
        <v>94</v>
      </c>
      <c r="D22" s="4" t="s">
        <v>95</v>
      </c>
      <c r="E22" s="8">
        <v>50000</v>
      </c>
      <c r="F22" s="6">
        <v>44273</v>
      </c>
      <c r="G22" s="6">
        <v>44378</v>
      </c>
      <c r="H22" s="7">
        <v>889.2</v>
      </c>
      <c r="I22" s="16">
        <v>5335.2</v>
      </c>
      <c r="J22" s="82">
        <f t="shared" si="0"/>
        <v>44664.800000000003</v>
      </c>
      <c r="K22" s="84">
        <v>889.2</v>
      </c>
      <c r="L22" s="83">
        <v>889.2</v>
      </c>
      <c r="M22" s="83">
        <v>889.2</v>
      </c>
      <c r="N22" s="83">
        <v>889.2</v>
      </c>
      <c r="O22" s="83">
        <v>889.2</v>
      </c>
      <c r="P22" s="87">
        <v>889.2</v>
      </c>
      <c r="Q22" s="83">
        <v>758.1</v>
      </c>
      <c r="R22" s="83">
        <v>131.1</v>
      </c>
      <c r="S22" s="83">
        <v>760.63</v>
      </c>
      <c r="T22" s="83">
        <v>128.57</v>
      </c>
      <c r="U22" s="83">
        <v>763.16</v>
      </c>
      <c r="V22" s="83">
        <v>126.04</v>
      </c>
      <c r="W22" s="106">
        <f t="shared" si="1"/>
        <v>7617.09</v>
      </c>
      <c r="X22" s="101">
        <f t="shared" si="2"/>
        <v>37047.710000000006</v>
      </c>
      <c r="Y22" s="101" t="str">
        <f t="shared" si="3"/>
        <v>current</v>
      </c>
      <c r="Z22" s="102">
        <f t="shared" si="4"/>
        <v>0</v>
      </c>
    </row>
    <row r="23" spans="1:27">
      <c r="A23" s="133">
        <v>100149</v>
      </c>
      <c r="B23" s="4" t="s">
        <v>96</v>
      </c>
      <c r="C23" s="4" t="s">
        <v>97</v>
      </c>
      <c r="D23" s="4" t="s">
        <v>98</v>
      </c>
      <c r="E23" s="8">
        <v>10000</v>
      </c>
      <c r="F23" s="6">
        <v>44273</v>
      </c>
      <c r="G23" s="6">
        <v>44378</v>
      </c>
      <c r="H23" s="7">
        <v>177.84</v>
      </c>
      <c r="I23" s="16">
        <v>1067.04</v>
      </c>
      <c r="J23" s="82">
        <f t="shared" si="0"/>
        <v>8932.9599999999991</v>
      </c>
      <c r="K23" s="84">
        <v>177.84</v>
      </c>
      <c r="L23" s="83">
        <v>177.84</v>
      </c>
      <c r="M23" s="83">
        <v>177.84</v>
      </c>
      <c r="N23" s="83">
        <v>177.84</v>
      </c>
      <c r="O23" s="83">
        <v>177.84</v>
      </c>
      <c r="P23" s="87">
        <v>177.84</v>
      </c>
      <c r="Q23" s="87">
        <v>151.62</v>
      </c>
      <c r="R23" s="87">
        <v>26.22</v>
      </c>
      <c r="S23" s="87">
        <v>152.13</v>
      </c>
      <c r="T23" s="87">
        <v>25.71</v>
      </c>
      <c r="U23" s="87">
        <v>152.63</v>
      </c>
      <c r="V23" s="87">
        <v>25.21</v>
      </c>
      <c r="W23" s="106">
        <f t="shared" si="1"/>
        <v>1523.42</v>
      </c>
      <c r="X23" s="101">
        <f t="shared" si="2"/>
        <v>7409.5399999999991</v>
      </c>
      <c r="Y23" s="106" t="str">
        <f t="shared" si="3"/>
        <v>current</v>
      </c>
      <c r="Z23" s="102">
        <f t="shared" si="4"/>
        <v>0</v>
      </c>
    </row>
    <row r="24" spans="1:27">
      <c r="A24" s="133">
        <v>100151</v>
      </c>
      <c r="B24" s="4" t="s">
        <v>99</v>
      </c>
      <c r="C24" s="4" t="s">
        <v>100</v>
      </c>
      <c r="D24" s="4" t="s">
        <v>101</v>
      </c>
      <c r="E24" s="8">
        <v>10000</v>
      </c>
      <c r="F24" s="6">
        <v>44286</v>
      </c>
      <c r="G24" s="6">
        <v>44378</v>
      </c>
      <c r="H24" s="7">
        <v>177.84</v>
      </c>
      <c r="I24" s="16">
        <v>1067.04</v>
      </c>
      <c r="J24" s="82">
        <f t="shared" si="0"/>
        <v>8932.9599999999991</v>
      </c>
      <c r="K24" s="84">
        <v>177.84</v>
      </c>
      <c r="L24" s="83">
        <v>177.84</v>
      </c>
      <c r="M24" s="83">
        <v>177.84</v>
      </c>
      <c r="N24" s="83">
        <v>177.84</v>
      </c>
      <c r="O24" s="83">
        <v>177.84</v>
      </c>
      <c r="P24" s="87">
        <v>177.84</v>
      </c>
      <c r="Q24" s="87">
        <v>151.62</v>
      </c>
      <c r="R24" s="87">
        <v>26.22</v>
      </c>
      <c r="S24" s="87">
        <v>152.13</v>
      </c>
      <c r="T24" s="87">
        <v>25.71</v>
      </c>
      <c r="U24" s="87">
        <v>152.63</v>
      </c>
      <c r="V24" s="87">
        <v>25.21</v>
      </c>
      <c r="W24" s="106">
        <f t="shared" si="1"/>
        <v>1523.42</v>
      </c>
      <c r="X24" s="101">
        <f t="shared" si="2"/>
        <v>7409.5399999999991</v>
      </c>
      <c r="Y24" s="101" t="str">
        <f t="shared" si="3"/>
        <v>current</v>
      </c>
      <c r="Z24" s="102">
        <f t="shared" si="4"/>
        <v>0</v>
      </c>
    </row>
    <row r="25" spans="1:27">
      <c r="A25" s="133">
        <v>100240</v>
      </c>
      <c r="B25" s="4" t="s">
        <v>102</v>
      </c>
      <c r="C25" s="4" t="s">
        <v>103</v>
      </c>
      <c r="D25" s="4" t="s">
        <v>104</v>
      </c>
      <c r="E25" s="8">
        <v>50000</v>
      </c>
      <c r="F25" s="6">
        <v>44280</v>
      </c>
      <c r="G25" s="6">
        <v>44378</v>
      </c>
      <c r="H25" s="7">
        <v>889.2</v>
      </c>
      <c r="I25" s="16">
        <v>5335.2</v>
      </c>
      <c r="J25" s="82">
        <f t="shared" si="0"/>
        <v>44664.800000000003</v>
      </c>
      <c r="K25" s="84">
        <v>889.2</v>
      </c>
      <c r="L25" s="84">
        <v>889.2</v>
      </c>
      <c r="M25" s="84">
        <v>889.2</v>
      </c>
      <c r="N25" s="83">
        <v>889.2</v>
      </c>
      <c r="O25" s="83">
        <v>889.2</v>
      </c>
      <c r="P25" s="87">
        <v>889.2</v>
      </c>
      <c r="Q25" s="83">
        <v>758.1</v>
      </c>
      <c r="R25" s="83">
        <v>131.1</v>
      </c>
      <c r="S25" s="83">
        <v>760.63</v>
      </c>
      <c r="T25" s="83">
        <v>128.57</v>
      </c>
      <c r="U25" s="83">
        <v>763.16</v>
      </c>
      <c r="V25" s="83">
        <v>126.04</v>
      </c>
      <c r="W25" s="106">
        <f t="shared" si="1"/>
        <v>7617.09</v>
      </c>
      <c r="X25" s="101">
        <f t="shared" si="2"/>
        <v>37047.710000000006</v>
      </c>
      <c r="Y25" s="101" t="str">
        <f t="shared" si="3"/>
        <v>current</v>
      </c>
      <c r="Z25" s="102">
        <f t="shared" si="4"/>
        <v>0</v>
      </c>
    </row>
    <row r="26" spans="1:27">
      <c r="A26" s="133">
        <v>100291</v>
      </c>
      <c r="B26" s="4" t="s">
        <v>105</v>
      </c>
      <c r="C26" s="4" t="s">
        <v>106</v>
      </c>
      <c r="D26" s="4" t="s">
        <v>107</v>
      </c>
      <c r="E26" s="8">
        <v>50000</v>
      </c>
      <c r="F26" s="6">
        <v>44273</v>
      </c>
      <c r="G26" s="6">
        <v>44378</v>
      </c>
      <c r="H26" s="7">
        <v>889.2</v>
      </c>
      <c r="I26" s="16">
        <v>5335.2</v>
      </c>
      <c r="J26" s="82">
        <f t="shared" si="0"/>
        <v>44664.800000000003</v>
      </c>
      <c r="K26" s="84">
        <v>889.2</v>
      </c>
      <c r="L26" s="84">
        <v>889.2</v>
      </c>
      <c r="M26" s="84">
        <v>889.2</v>
      </c>
      <c r="N26" s="83">
        <v>889.2</v>
      </c>
      <c r="O26" s="83">
        <v>889.2</v>
      </c>
      <c r="P26" s="87">
        <v>889.2</v>
      </c>
      <c r="Q26" s="83">
        <v>758.1</v>
      </c>
      <c r="R26" s="83">
        <v>131.1</v>
      </c>
      <c r="S26" s="83">
        <v>760.63</v>
      </c>
      <c r="T26" s="83">
        <v>128.57</v>
      </c>
      <c r="U26" s="83">
        <v>763.16</v>
      </c>
      <c r="V26" s="83">
        <v>126.04</v>
      </c>
      <c r="W26" s="106">
        <f t="shared" si="1"/>
        <v>7617.09</v>
      </c>
      <c r="X26" s="101">
        <f t="shared" si="2"/>
        <v>37047.710000000006</v>
      </c>
      <c r="Y26" s="101" t="str">
        <f t="shared" si="3"/>
        <v>current</v>
      </c>
      <c r="Z26" s="102">
        <f t="shared" si="4"/>
        <v>0</v>
      </c>
    </row>
    <row r="27" spans="1:27">
      <c r="A27" s="133">
        <v>100302</v>
      </c>
      <c r="B27" s="4" t="s">
        <v>49</v>
      </c>
      <c r="C27" s="4" t="s">
        <v>108</v>
      </c>
      <c r="D27" s="4" t="s">
        <v>109</v>
      </c>
      <c r="E27" s="8">
        <v>50000</v>
      </c>
      <c r="F27" s="6">
        <v>44280</v>
      </c>
      <c r="G27" s="6">
        <v>44378</v>
      </c>
      <c r="H27" s="7">
        <v>889.2</v>
      </c>
      <c r="I27" s="16">
        <v>5335.2</v>
      </c>
      <c r="J27" s="82">
        <f t="shared" si="0"/>
        <v>44664.800000000003</v>
      </c>
      <c r="K27" s="84">
        <v>889.2</v>
      </c>
      <c r="L27" s="84">
        <v>889.2</v>
      </c>
      <c r="M27" s="84">
        <v>889.2</v>
      </c>
      <c r="N27" s="83">
        <v>889.2</v>
      </c>
      <c r="O27" s="83">
        <v>889.2</v>
      </c>
      <c r="P27" s="87">
        <v>889.2</v>
      </c>
      <c r="Q27" s="83">
        <v>758.1</v>
      </c>
      <c r="R27" s="83">
        <v>131.1</v>
      </c>
      <c r="S27" s="83">
        <v>760.63</v>
      </c>
      <c r="T27" s="83">
        <v>128.57</v>
      </c>
      <c r="U27" s="83">
        <v>763.16</v>
      </c>
      <c r="V27" s="83">
        <v>126.04</v>
      </c>
      <c r="W27" s="106">
        <f t="shared" si="1"/>
        <v>7617.09</v>
      </c>
      <c r="X27" s="101">
        <f t="shared" si="2"/>
        <v>37047.710000000006</v>
      </c>
      <c r="Y27" s="101" t="str">
        <f t="shared" si="3"/>
        <v>current</v>
      </c>
      <c r="Z27" s="102">
        <f t="shared" si="4"/>
        <v>0</v>
      </c>
      <c r="AA27" s="13"/>
    </row>
    <row r="28" spans="1:27">
      <c r="A28" s="133">
        <v>100351</v>
      </c>
      <c r="B28" s="4" t="s">
        <v>110</v>
      </c>
      <c r="C28" s="4" t="s">
        <v>111</v>
      </c>
      <c r="D28" s="4" t="s">
        <v>112</v>
      </c>
      <c r="E28" s="8">
        <v>39000</v>
      </c>
      <c r="F28" s="6">
        <v>44273</v>
      </c>
      <c r="G28" s="6">
        <v>44378</v>
      </c>
      <c r="H28" s="7">
        <v>693.58</v>
      </c>
      <c r="I28" s="16">
        <v>4161.4799999999996</v>
      </c>
      <c r="J28" s="82">
        <f t="shared" si="0"/>
        <v>34838.520000000004</v>
      </c>
      <c r="K28" s="84">
        <v>693.58</v>
      </c>
      <c r="L28" s="84">
        <v>693.58</v>
      </c>
      <c r="M28" s="84">
        <v>693.58</v>
      </c>
      <c r="N28" s="83">
        <v>693.58</v>
      </c>
      <c r="O28" s="83">
        <v>693.58</v>
      </c>
      <c r="P28" s="87">
        <v>693.58</v>
      </c>
      <c r="Q28" s="87">
        <v>591.32000000000005</v>
      </c>
      <c r="R28" s="87">
        <v>102.26</v>
      </c>
      <c r="S28" s="87">
        <v>593.29</v>
      </c>
      <c r="T28" s="87">
        <v>100.29</v>
      </c>
      <c r="U28" s="87">
        <v>595.27</v>
      </c>
      <c r="V28" s="87">
        <v>98.31</v>
      </c>
      <c r="W28" s="106">
        <f t="shared" si="1"/>
        <v>5941.3600000000006</v>
      </c>
      <c r="X28" s="101">
        <f t="shared" si="2"/>
        <v>28897.160000000003</v>
      </c>
      <c r="Y28" s="101" t="str">
        <f t="shared" si="3"/>
        <v>current</v>
      </c>
      <c r="Z28" s="102">
        <f t="shared" si="4"/>
        <v>0</v>
      </c>
    </row>
    <row r="29" spans="1:27">
      <c r="A29" s="133">
        <v>100352</v>
      </c>
      <c r="B29" s="4" t="s">
        <v>113</v>
      </c>
      <c r="C29" s="4" t="s">
        <v>114</v>
      </c>
      <c r="D29" s="4" t="s">
        <v>115</v>
      </c>
      <c r="E29" s="8">
        <v>50000</v>
      </c>
      <c r="F29" s="6">
        <v>44280</v>
      </c>
      <c r="G29" s="6">
        <v>44378</v>
      </c>
      <c r="H29" s="7">
        <v>889.2</v>
      </c>
      <c r="I29" s="16">
        <v>5335.2</v>
      </c>
      <c r="J29" s="82">
        <f t="shared" si="0"/>
        <v>44664.800000000003</v>
      </c>
      <c r="K29" s="84">
        <v>889.2</v>
      </c>
      <c r="L29" s="83">
        <v>889.2</v>
      </c>
      <c r="M29" s="83">
        <v>889.2</v>
      </c>
      <c r="N29" s="83">
        <v>889.2</v>
      </c>
      <c r="O29" s="83">
        <v>889.2</v>
      </c>
      <c r="P29" s="87">
        <v>889.2</v>
      </c>
      <c r="Q29" s="83">
        <v>758.1</v>
      </c>
      <c r="R29" s="83">
        <v>131.1</v>
      </c>
      <c r="S29" s="83">
        <v>760.63</v>
      </c>
      <c r="T29" s="83">
        <v>128.57</v>
      </c>
      <c r="U29" s="83">
        <v>763.16</v>
      </c>
      <c r="V29" s="83">
        <v>126.04</v>
      </c>
      <c r="W29" s="106">
        <f t="shared" si="1"/>
        <v>7617.09</v>
      </c>
      <c r="X29" s="101">
        <f t="shared" si="2"/>
        <v>37047.710000000006</v>
      </c>
      <c r="Y29" s="101" t="str">
        <f t="shared" si="3"/>
        <v>current</v>
      </c>
      <c r="Z29" s="102">
        <f t="shared" si="4"/>
        <v>0</v>
      </c>
    </row>
    <row r="30" spans="1:27">
      <c r="A30" s="133">
        <v>100357</v>
      </c>
      <c r="B30" s="4" t="s">
        <v>116</v>
      </c>
      <c r="C30" s="4" t="s">
        <v>117</v>
      </c>
      <c r="D30" s="4" t="s">
        <v>118</v>
      </c>
      <c r="E30" s="8">
        <v>50000</v>
      </c>
      <c r="F30" s="6">
        <v>44286</v>
      </c>
      <c r="G30" s="6">
        <v>44378</v>
      </c>
      <c r="H30" s="7">
        <v>889.2</v>
      </c>
      <c r="I30" s="16">
        <v>5335.2</v>
      </c>
      <c r="J30" s="82">
        <f t="shared" si="0"/>
        <v>44664.800000000003</v>
      </c>
      <c r="K30" s="84">
        <v>889.2</v>
      </c>
      <c r="L30" s="84">
        <v>889.2</v>
      </c>
      <c r="M30" s="84">
        <v>889.2</v>
      </c>
      <c r="N30" s="83">
        <v>889.2</v>
      </c>
      <c r="O30" s="83">
        <v>889.2</v>
      </c>
      <c r="P30" s="87">
        <v>889.2</v>
      </c>
      <c r="Q30" s="83">
        <v>758.1</v>
      </c>
      <c r="R30" s="83">
        <v>131.1</v>
      </c>
      <c r="S30" s="83">
        <v>760.63</v>
      </c>
      <c r="T30" s="83">
        <v>128.57</v>
      </c>
      <c r="U30" s="83">
        <v>763.16</v>
      </c>
      <c r="V30" s="83">
        <v>126.04</v>
      </c>
      <c r="W30" s="106">
        <f t="shared" si="1"/>
        <v>7617.09</v>
      </c>
      <c r="X30" s="101">
        <f t="shared" si="2"/>
        <v>37047.710000000006</v>
      </c>
      <c r="Y30" s="101" t="str">
        <f t="shared" si="3"/>
        <v>current</v>
      </c>
      <c r="Z30" s="102">
        <f t="shared" si="4"/>
        <v>0</v>
      </c>
    </row>
    <row r="31" spans="1:27" s="12" customFormat="1">
      <c r="A31" s="133">
        <v>100042</v>
      </c>
      <c r="B31" s="4" t="s">
        <v>119</v>
      </c>
      <c r="C31" s="4" t="s">
        <v>120</v>
      </c>
      <c r="D31" s="4" t="s">
        <v>121</v>
      </c>
      <c r="E31" s="5">
        <v>50000</v>
      </c>
      <c r="F31" s="6">
        <v>44286</v>
      </c>
      <c r="G31" s="6">
        <v>44378</v>
      </c>
      <c r="H31" s="7">
        <v>889.2</v>
      </c>
      <c r="I31" s="88">
        <v>5335.2</v>
      </c>
      <c r="J31" s="167">
        <f t="shared" si="0"/>
        <v>44664.800000000003</v>
      </c>
      <c r="K31" s="89">
        <v>889.2</v>
      </c>
      <c r="L31" s="87">
        <v>889.2</v>
      </c>
      <c r="M31" s="87">
        <v>889.2</v>
      </c>
      <c r="N31" s="87">
        <v>889.2</v>
      </c>
      <c r="O31" s="87">
        <v>889.2</v>
      </c>
      <c r="P31" s="87">
        <v>889.2</v>
      </c>
      <c r="Q31" s="83">
        <v>758.1</v>
      </c>
      <c r="R31" s="83">
        <v>131.1</v>
      </c>
      <c r="S31" s="83">
        <v>760.63</v>
      </c>
      <c r="T31" s="83">
        <v>128.57</v>
      </c>
      <c r="U31" s="83">
        <f>763.16+37047.71</f>
        <v>37810.870000000003</v>
      </c>
      <c r="V31" s="83">
        <v>126.04</v>
      </c>
      <c r="W31" s="106">
        <f>K31+L31+M31+N31+O31+P31+Q31+S31+U31</f>
        <v>44664.800000000003</v>
      </c>
      <c r="X31" s="106">
        <f t="shared" si="2"/>
        <v>0</v>
      </c>
      <c r="Y31" s="168" t="s">
        <v>88</v>
      </c>
      <c r="Z31" s="102">
        <v>0</v>
      </c>
    </row>
    <row r="32" spans="1:27">
      <c r="A32" s="133">
        <v>100060</v>
      </c>
      <c r="B32" s="4" t="s">
        <v>122</v>
      </c>
      <c r="C32" s="4" t="s">
        <v>123</v>
      </c>
      <c r="D32" s="4" t="s">
        <v>124</v>
      </c>
      <c r="E32" s="5">
        <v>25000</v>
      </c>
      <c r="F32" s="6">
        <v>44286</v>
      </c>
      <c r="G32" s="6">
        <v>44378</v>
      </c>
      <c r="H32" s="7">
        <v>444.6</v>
      </c>
      <c r="I32" s="88">
        <v>2667.6</v>
      </c>
      <c r="J32" s="82">
        <f t="shared" si="0"/>
        <v>22332.400000000001</v>
      </c>
      <c r="K32" s="89">
        <v>444.6</v>
      </c>
      <c r="L32" s="87">
        <v>444.6</v>
      </c>
      <c r="M32" s="87">
        <v>444.6</v>
      </c>
      <c r="N32" s="87">
        <v>444.6</v>
      </c>
      <c r="O32" s="87">
        <v>0</v>
      </c>
      <c r="P32" s="87">
        <v>444.6</v>
      </c>
      <c r="Q32" s="87">
        <v>444.6</v>
      </c>
      <c r="R32" s="167">
        <v>0</v>
      </c>
      <c r="S32" s="86">
        <v>222.3</v>
      </c>
      <c r="T32" s="86"/>
      <c r="U32" s="86"/>
      <c r="V32" s="86"/>
      <c r="W32" s="106">
        <f t="shared" si="1"/>
        <v>2889.9</v>
      </c>
      <c r="X32" s="101">
        <f t="shared" si="2"/>
        <v>19442.5</v>
      </c>
      <c r="Y32" s="103" t="str">
        <f t="shared" si="3"/>
        <v>Not Current</v>
      </c>
      <c r="Z32" s="105">
        <f t="shared" si="4"/>
        <v>1111.5</v>
      </c>
      <c r="AA32" t="s">
        <v>194</v>
      </c>
    </row>
    <row r="33" spans="1:26">
      <c r="A33" s="133">
        <v>100081</v>
      </c>
      <c r="B33" s="4" t="s">
        <v>126</v>
      </c>
      <c r="C33" s="4" t="s">
        <v>127</v>
      </c>
      <c r="D33" s="4" t="s">
        <v>128</v>
      </c>
      <c r="E33" s="5">
        <v>25000</v>
      </c>
      <c r="F33" s="6">
        <v>44280</v>
      </c>
      <c r="G33" s="6">
        <v>44378</v>
      </c>
      <c r="H33" s="7">
        <v>444.6</v>
      </c>
      <c r="I33" s="88">
        <v>2667.6</v>
      </c>
      <c r="J33" s="82">
        <f t="shared" si="0"/>
        <v>22332.400000000001</v>
      </c>
      <c r="K33" s="89">
        <v>444.6</v>
      </c>
      <c r="L33" s="87">
        <v>444.6</v>
      </c>
      <c r="M33" s="87">
        <v>444.6</v>
      </c>
      <c r="N33" s="87">
        <v>444.6</v>
      </c>
      <c r="O33" s="87">
        <v>444.6</v>
      </c>
      <c r="P33" s="87">
        <v>0</v>
      </c>
      <c r="Q33" s="87">
        <v>0</v>
      </c>
      <c r="R33" s="167">
        <v>0</v>
      </c>
      <c r="S33" s="87">
        <v>1203.96</v>
      </c>
      <c r="T33" s="87">
        <v>129.84</v>
      </c>
      <c r="U33" s="87">
        <v>381.58</v>
      </c>
      <c r="V33" s="87">
        <v>63.02</v>
      </c>
      <c r="W33" s="106">
        <f t="shared" si="1"/>
        <v>3808.54</v>
      </c>
      <c r="X33" s="101">
        <f t="shared" si="2"/>
        <v>18523.86</v>
      </c>
      <c r="Y33" s="106" t="str">
        <f t="shared" si="3"/>
        <v>current</v>
      </c>
      <c r="Z33" s="102">
        <f t="shared" si="4"/>
        <v>0</v>
      </c>
    </row>
    <row r="34" spans="1:26">
      <c r="A34" s="133">
        <v>100277</v>
      </c>
      <c r="B34" s="4" t="s">
        <v>130</v>
      </c>
      <c r="C34" s="4" t="s">
        <v>131</v>
      </c>
      <c r="D34" s="4" t="s">
        <v>132</v>
      </c>
      <c r="E34" s="5">
        <v>20000</v>
      </c>
      <c r="F34" s="6">
        <v>44292</v>
      </c>
      <c r="G34" s="6">
        <v>44378</v>
      </c>
      <c r="H34" s="7">
        <v>355.68</v>
      </c>
      <c r="I34" s="16">
        <v>2134.08</v>
      </c>
      <c r="J34" s="82">
        <f t="shared" si="0"/>
        <v>17865.919999999998</v>
      </c>
      <c r="K34" s="84">
        <v>355.68</v>
      </c>
      <c r="L34" s="84">
        <v>355.68</v>
      </c>
      <c r="M34" s="84">
        <v>355.68</v>
      </c>
      <c r="N34" s="87">
        <v>0</v>
      </c>
      <c r="O34" s="87">
        <f>355.68+355.68+355.68</f>
        <v>1067.04</v>
      </c>
      <c r="P34" s="87">
        <v>0</v>
      </c>
      <c r="Q34" s="86"/>
      <c r="R34" s="86"/>
      <c r="S34" s="86"/>
      <c r="T34" s="86"/>
      <c r="U34" s="86"/>
      <c r="V34" s="86"/>
      <c r="W34" s="106">
        <f t="shared" si="1"/>
        <v>2134.08</v>
      </c>
      <c r="X34" s="101">
        <f t="shared" si="2"/>
        <v>15731.839999999998</v>
      </c>
      <c r="Y34" s="103" t="str">
        <f t="shared" si="3"/>
        <v>Not Current</v>
      </c>
      <c r="Z34" s="105">
        <f t="shared" si="4"/>
        <v>1067.04</v>
      </c>
    </row>
    <row r="35" spans="1:26">
      <c r="A35" s="133">
        <v>100283</v>
      </c>
      <c r="B35" s="4" t="s">
        <v>134</v>
      </c>
      <c r="C35" s="4" t="s">
        <v>135</v>
      </c>
      <c r="D35" s="4" t="s">
        <v>136</v>
      </c>
      <c r="E35" s="5">
        <v>50000</v>
      </c>
      <c r="F35" s="6">
        <v>44280</v>
      </c>
      <c r="G35" s="6">
        <v>44378</v>
      </c>
      <c r="H35" s="7">
        <v>889.2</v>
      </c>
      <c r="I35" s="16">
        <v>5335.2</v>
      </c>
      <c r="J35" s="82">
        <f t="shared" si="0"/>
        <v>44664.800000000003</v>
      </c>
      <c r="K35" s="84">
        <v>889.2</v>
      </c>
      <c r="L35" s="83">
        <v>889.2</v>
      </c>
      <c r="M35" s="83">
        <v>889.2</v>
      </c>
      <c r="N35" s="83">
        <v>889.2</v>
      </c>
      <c r="O35" s="83">
        <v>889.2</v>
      </c>
      <c r="P35" s="87">
        <v>889.2</v>
      </c>
      <c r="Q35" s="83">
        <v>758.1</v>
      </c>
      <c r="R35" s="83">
        <v>131.1</v>
      </c>
      <c r="S35" s="83">
        <v>760.63</v>
      </c>
      <c r="T35" s="83">
        <v>128.57</v>
      </c>
      <c r="U35" s="83">
        <v>763.16</v>
      </c>
      <c r="V35" s="83">
        <v>126.04</v>
      </c>
      <c r="W35" s="106">
        <f t="shared" si="1"/>
        <v>7617.09</v>
      </c>
      <c r="X35" s="101">
        <f t="shared" si="2"/>
        <v>37047.710000000006</v>
      </c>
      <c r="Y35" s="101" t="str">
        <f t="shared" si="3"/>
        <v>current</v>
      </c>
      <c r="Z35" s="102">
        <f t="shared" si="4"/>
        <v>0</v>
      </c>
    </row>
    <row r="36" spans="1:26">
      <c r="A36" s="133">
        <v>100295</v>
      </c>
      <c r="B36" s="4" t="s">
        <v>137</v>
      </c>
      <c r="C36" s="4" t="s">
        <v>138</v>
      </c>
      <c r="D36" s="4" t="s">
        <v>139</v>
      </c>
      <c r="E36" s="5">
        <v>20000</v>
      </c>
      <c r="F36" s="6">
        <v>44280</v>
      </c>
      <c r="G36" s="6">
        <v>44378</v>
      </c>
      <c r="H36" s="7">
        <v>355.68</v>
      </c>
      <c r="I36" s="16">
        <v>2134.08</v>
      </c>
      <c r="J36" s="82">
        <f t="shared" si="0"/>
        <v>17865.919999999998</v>
      </c>
      <c r="K36" s="84">
        <v>355.68</v>
      </c>
      <c r="L36" s="84">
        <v>355.68</v>
      </c>
      <c r="M36" s="84">
        <v>355.68</v>
      </c>
      <c r="N36" s="83">
        <v>355.68</v>
      </c>
      <c r="O36" s="83">
        <v>355.68</v>
      </c>
      <c r="P36" s="87">
        <v>355.68</v>
      </c>
      <c r="Q36" s="87">
        <f>355.68-R36</f>
        <v>303.24</v>
      </c>
      <c r="R36" s="83">
        <v>52.44</v>
      </c>
      <c r="S36" s="87">
        <f>355.68-T36</f>
        <v>304.25</v>
      </c>
      <c r="T36" s="83">
        <v>51.43</v>
      </c>
      <c r="U36" s="87">
        <f>355.68-V36</f>
        <v>305.27</v>
      </c>
      <c r="V36" s="83">
        <v>50.41</v>
      </c>
      <c r="W36" s="106">
        <f>K36+L36+M36+N36+O36+P36+Q36+S36+U36</f>
        <v>3046.8399999999997</v>
      </c>
      <c r="X36" s="101">
        <f t="shared" si="2"/>
        <v>14819.079999999998</v>
      </c>
      <c r="Y36" s="101" t="str">
        <f t="shared" si="3"/>
        <v>current</v>
      </c>
      <c r="Z36" s="102">
        <f t="shared" si="4"/>
        <v>0</v>
      </c>
    </row>
    <row r="37" spans="1:26">
      <c r="A37" s="133">
        <v>100306</v>
      </c>
      <c r="B37" s="4" t="s">
        <v>140</v>
      </c>
      <c r="C37" s="4" t="s">
        <v>141</v>
      </c>
      <c r="D37" s="4" t="s">
        <v>142</v>
      </c>
      <c r="E37" s="5">
        <v>50000</v>
      </c>
      <c r="F37" s="6">
        <v>44315</v>
      </c>
      <c r="G37" s="6">
        <v>44409</v>
      </c>
      <c r="H37" s="7">
        <v>889.2</v>
      </c>
      <c r="I37" s="16">
        <v>4446</v>
      </c>
      <c r="J37" s="82">
        <f t="shared" si="0"/>
        <v>45554</v>
      </c>
      <c r="K37" s="84">
        <v>889.2</v>
      </c>
      <c r="L37" s="84">
        <v>889.2</v>
      </c>
      <c r="M37" s="84">
        <v>889.2</v>
      </c>
      <c r="N37" s="83">
        <v>889.2</v>
      </c>
      <c r="O37" s="83">
        <v>889.2</v>
      </c>
      <c r="P37" s="87">
        <v>889.2</v>
      </c>
      <c r="Q37" s="83">
        <v>889.2</v>
      </c>
      <c r="R37" s="82">
        <v>0</v>
      </c>
      <c r="S37" s="83">
        <v>758.1</v>
      </c>
      <c r="T37" s="83">
        <v>131.1</v>
      </c>
      <c r="U37" s="83">
        <v>760.63</v>
      </c>
      <c r="V37" s="83">
        <v>128.57</v>
      </c>
      <c r="W37" s="106">
        <f t="shared" si="1"/>
        <v>7743.13</v>
      </c>
      <c r="X37" s="101">
        <f t="shared" si="2"/>
        <v>37810.870000000003</v>
      </c>
      <c r="Y37" s="101" t="str">
        <f t="shared" si="3"/>
        <v>current</v>
      </c>
      <c r="Z37" s="102">
        <f t="shared" si="4"/>
        <v>0</v>
      </c>
    </row>
    <row r="38" spans="1:26">
      <c r="A38" s="133">
        <v>100145</v>
      </c>
      <c r="B38" s="4" t="s">
        <v>144</v>
      </c>
      <c r="C38" s="4" t="s">
        <v>145</v>
      </c>
      <c r="D38" s="4" t="s">
        <v>146</v>
      </c>
      <c r="E38" s="5">
        <v>15000</v>
      </c>
      <c r="F38" s="6">
        <v>44315</v>
      </c>
      <c r="G38" s="6">
        <v>44409</v>
      </c>
      <c r="H38" s="7">
        <v>266.76</v>
      </c>
      <c r="I38" s="16">
        <v>1333.8</v>
      </c>
      <c r="J38" s="82">
        <f t="shared" si="0"/>
        <v>13666.2</v>
      </c>
      <c r="K38" s="84">
        <v>266.76</v>
      </c>
      <c r="L38" s="83">
        <v>266.76</v>
      </c>
      <c r="M38" s="83">
        <v>266.76</v>
      </c>
      <c r="N38" s="83">
        <v>266.76</v>
      </c>
      <c r="O38" s="83">
        <v>266.76</v>
      </c>
      <c r="P38" s="87">
        <v>266.76</v>
      </c>
      <c r="Q38" s="87">
        <v>266.76</v>
      </c>
      <c r="R38" s="167">
        <v>0</v>
      </c>
      <c r="S38" s="87">
        <v>227.43</v>
      </c>
      <c r="T38" s="87">
        <v>39.33</v>
      </c>
      <c r="U38" s="87">
        <v>228.19</v>
      </c>
      <c r="V38" s="87">
        <v>38.57</v>
      </c>
      <c r="W38" s="106">
        <f t="shared" si="1"/>
        <v>2322.94</v>
      </c>
      <c r="X38" s="101">
        <f t="shared" si="2"/>
        <v>11343.26</v>
      </c>
      <c r="Y38" s="106" t="str">
        <f>IF(Z38=0,"current","Not Current")</f>
        <v>current</v>
      </c>
      <c r="Z38" s="102">
        <f t="shared" si="4"/>
        <v>0</v>
      </c>
    </row>
    <row r="39" spans="1:26">
      <c r="A39" s="133">
        <v>100249</v>
      </c>
      <c r="B39" s="4" t="s">
        <v>147</v>
      </c>
      <c r="C39" s="4" t="s">
        <v>148</v>
      </c>
      <c r="D39" s="4" t="s">
        <v>149</v>
      </c>
      <c r="E39" s="5">
        <v>20000</v>
      </c>
      <c r="F39" s="6">
        <v>44322</v>
      </c>
      <c r="G39" s="6">
        <v>44409</v>
      </c>
      <c r="H39" s="7">
        <v>1681.79</v>
      </c>
      <c r="I39" s="16">
        <v>5756.73</v>
      </c>
      <c r="J39" s="82">
        <f t="shared" si="0"/>
        <v>14243.27</v>
      </c>
      <c r="K39" s="84">
        <v>1681.79</v>
      </c>
      <c r="L39" s="83">
        <v>1681.79</v>
      </c>
      <c r="M39" s="83">
        <v>1681.79</v>
      </c>
      <c r="N39" s="83">
        <v>1681.79</v>
      </c>
      <c r="O39" s="83">
        <v>1681.79</v>
      </c>
      <c r="P39" s="87">
        <v>1681.79</v>
      </c>
      <c r="Q39" s="87">
        <f>1681.79-R39</f>
        <v>1665.08</v>
      </c>
      <c r="R39" s="87">
        <f>16.71</f>
        <v>16.71</v>
      </c>
      <c r="S39" s="87">
        <f>1681.79-T39</f>
        <v>1670.6299999999999</v>
      </c>
      <c r="T39" s="87">
        <v>11.16</v>
      </c>
      <c r="U39" s="87">
        <f>1681.79-V39</f>
        <v>1676.2</v>
      </c>
      <c r="V39" s="87">
        <v>5.59</v>
      </c>
      <c r="W39" s="106">
        <f>K39+L39+M39+N39+O39+P39+Q39+S39+U39-49.62-44.18-38.72-33.25-27.75-22.24</f>
        <v>14886.890000000001</v>
      </c>
      <c r="X39" s="101">
        <f t="shared" si="2"/>
        <v>-643.6200000000008</v>
      </c>
      <c r="Y39" s="168" t="s">
        <v>88</v>
      </c>
      <c r="Z39" s="102">
        <f t="shared" si="4"/>
        <v>0</v>
      </c>
    </row>
    <row r="40" spans="1:26">
      <c r="A40" s="133">
        <v>100335</v>
      </c>
      <c r="B40" s="4" t="s">
        <v>150</v>
      </c>
      <c r="C40" s="4" t="s">
        <v>151</v>
      </c>
      <c r="D40" s="4" t="s">
        <v>152</v>
      </c>
      <c r="E40" s="5">
        <v>25000</v>
      </c>
      <c r="F40" s="6">
        <v>44315</v>
      </c>
      <c r="G40" s="6">
        <v>44409</v>
      </c>
      <c r="H40" s="7">
        <v>444.6</v>
      </c>
      <c r="I40" s="16">
        <v>2223</v>
      </c>
      <c r="J40" s="82">
        <f t="shared" si="0"/>
        <v>22777</v>
      </c>
      <c r="K40" s="84">
        <v>444.6</v>
      </c>
      <c r="L40" s="84">
        <v>444.6</v>
      </c>
      <c r="M40" s="84">
        <v>444.6</v>
      </c>
      <c r="N40" s="83">
        <v>444.6</v>
      </c>
      <c r="O40" s="83">
        <v>444.6</v>
      </c>
      <c r="P40" s="87">
        <v>444.6</v>
      </c>
      <c r="Q40" s="87">
        <v>444.6</v>
      </c>
      <c r="R40" s="167">
        <v>0</v>
      </c>
      <c r="S40" s="87">
        <v>379.05</v>
      </c>
      <c r="T40" s="87">
        <v>65.55</v>
      </c>
      <c r="U40" s="87">
        <v>380.31</v>
      </c>
      <c r="V40" s="87">
        <v>64.290000000000006</v>
      </c>
      <c r="W40" s="106">
        <f>K40+L40+M40+N40+O40+P40+Q40+S40+U40</f>
        <v>3871.56</v>
      </c>
      <c r="X40" s="101">
        <f t="shared" si="2"/>
        <v>18905.439999999999</v>
      </c>
      <c r="Y40" s="101" t="str">
        <f t="shared" si="3"/>
        <v>current</v>
      </c>
      <c r="Z40" s="102">
        <f t="shared" si="4"/>
        <v>0</v>
      </c>
    </row>
    <row r="41" spans="1:26">
      <c r="A41" s="133">
        <v>100202</v>
      </c>
      <c r="B41" s="4" t="s">
        <v>154</v>
      </c>
      <c r="C41" s="4" t="s">
        <v>155</v>
      </c>
      <c r="D41" s="4" t="s">
        <v>156</v>
      </c>
      <c r="E41" s="5">
        <v>25000</v>
      </c>
      <c r="F41" s="6">
        <v>44344</v>
      </c>
      <c r="G41" s="6">
        <v>44440</v>
      </c>
      <c r="H41" s="7">
        <v>444.6</v>
      </c>
      <c r="I41" s="16">
        <v>1778.4</v>
      </c>
      <c r="J41" s="82">
        <f t="shared" si="0"/>
        <v>23221.599999999999</v>
      </c>
      <c r="K41" s="84">
        <v>444.6</v>
      </c>
      <c r="L41" s="84">
        <v>444.6</v>
      </c>
      <c r="M41" s="84">
        <v>444.6</v>
      </c>
      <c r="N41" s="83">
        <v>444.6</v>
      </c>
      <c r="O41" s="83">
        <v>444.6</v>
      </c>
      <c r="P41" s="87">
        <v>444.6</v>
      </c>
      <c r="Q41" s="87">
        <v>444.6</v>
      </c>
      <c r="R41" s="167">
        <v>0</v>
      </c>
      <c r="S41" s="87">
        <v>444.6</v>
      </c>
      <c r="T41" s="167">
        <v>0</v>
      </c>
      <c r="U41" s="87">
        <v>379.05</v>
      </c>
      <c r="V41" s="87">
        <v>65.55</v>
      </c>
      <c r="W41" s="106">
        <f t="shared" si="1"/>
        <v>3935.85</v>
      </c>
      <c r="X41" s="101">
        <f t="shared" si="2"/>
        <v>19285.75</v>
      </c>
      <c r="Y41" s="101" t="str">
        <f t="shared" si="3"/>
        <v>current</v>
      </c>
      <c r="Z41" s="102">
        <f t="shared" si="4"/>
        <v>0</v>
      </c>
    </row>
    <row r="42" spans="1:26">
      <c r="A42" s="133">
        <v>100034</v>
      </c>
      <c r="B42" s="4" t="s">
        <v>157</v>
      </c>
      <c r="C42" s="4" t="s">
        <v>127</v>
      </c>
      <c r="D42" s="4" t="s">
        <v>158</v>
      </c>
      <c r="E42" s="5">
        <v>28500</v>
      </c>
      <c r="F42" s="6">
        <v>44355</v>
      </c>
      <c r="G42" s="6">
        <v>44470</v>
      </c>
      <c r="H42" s="7">
        <v>506.84</v>
      </c>
      <c r="I42" s="16">
        <v>1520.52</v>
      </c>
      <c r="J42" s="82">
        <f t="shared" si="0"/>
        <v>26979.48</v>
      </c>
      <c r="K42" s="84">
        <v>506.84</v>
      </c>
      <c r="L42" s="83">
        <v>0</v>
      </c>
      <c r="M42" s="83">
        <f>506.84+506.84</f>
        <v>1013.68</v>
      </c>
      <c r="N42" s="87">
        <v>506.84</v>
      </c>
      <c r="O42" s="86"/>
      <c r="P42" s="87">
        <v>506.84</v>
      </c>
      <c r="Q42" s="86"/>
      <c r="R42" s="183">
        <v>0</v>
      </c>
      <c r="S42" s="86"/>
      <c r="T42" s="183"/>
      <c r="U42" s="86"/>
      <c r="V42" s="86"/>
      <c r="W42" s="106">
        <f t="shared" si="1"/>
        <v>2534.1999999999998</v>
      </c>
      <c r="X42" s="101">
        <f t="shared" si="2"/>
        <v>24445.279999999999</v>
      </c>
      <c r="Y42" s="103" t="str">
        <f t="shared" si="3"/>
        <v>Not Current</v>
      </c>
      <c r="Z42" s="105">
        <f t="shared" si="4"/>
        <v>2027.3599999999997</v>
      </c>
    </row>
    <row r="43" spans="1:26">
      <c r="A43" s="133">
        <v>100085</v>
      </c>
      <c r="B43" s="4" t="s">
        <v>159</v>
      </c>
      <c r="C43" s="4" t="s">
        <v>160</v>
      </c>
      <c r="D43" s="4" t="s">
        <v>161</v>
      </c>
      <c r="E43" s="5">
        <v>50000</v>
      </c>
      <c r="F43" s="6">
        <v>44355</v>
      </c>
      <c r="G43" s="6">
        <v>44470</v>
      </c>
      <c r="H43" s="7">
        <v>889.2</v>
      </c>
      <c r="I43" s="16">
        <v>2667.6</v>
      </c>
      <c r="J43" s="82">
        <f t="shared" si="0"/>
        <v>47332.4</v>
      </c>
      <c r="K43" s="84">
        <v>889.2</v>
      </c>
      <c r="L43" s="83">
        <v>889.2</v>
      </c>
      <c r="M43" s="83">
        <v>889.2</v>
      </c>
      <c r="N43" s="83">
        <v>889.2</v>
      </c>
      <c r="O43" s="83">
        <v>889.2</v>
      </c>
      <c r="P43" s="87">
        <v>889.2</v>
      </c>
      <c r="Q43" s="87">
        <v>889.2</v>
      </c>
      <c r="R43" s="167">
        <v>0</v>
      </c>
      <c r="S43" s="87">
        <v>889.2</v>
      </c>
      <c r="T43" s="167">
        <v>0</v>
      </c>
      <c r="U43" s="87">
        <v>889.2</v>
      </c>
      <c r="V43" s="167">
        <v>0</v>
      </c>
      <c r="W43" s="106">
        <f t="shared" si="1"/>
        <v>8002.7999999999993</v>
      </c>
      <c r="X43" s="101">
        <f t="shared" si="2"/>
        <v>39329.600000000006</v>
      </c>
      <c r="Y43" s="101" t="str">
        <f t="shared" si="3"/>
        <v>current</v>
      </c>
      <c r="Z43" s="102">
        <f>H43*9-(K43+L43+M43+N43+O43+P43+Q43+S43+U43)</f>
        <v>0</v>
      </c>
    </row>
    <row r="44" spans="1:26">
      <c r="A44" s="133">
        <v>100055</v>
      </c>
      <c r="B44" s="4" t="s">
        <v>162</v>
      </c>
      <c r="C44" s="4" t="s">
        <v>163</v>
      </c>
      <c r="D44" s="4" t="s">
        <v>164</v>
      </c>
      <c r="E44" s="5">
        <v>50000</v>
      </c>
      <c r="F44" s="6">
        <v>44470</v>
      </c>
      <c r="G44" s="6">
        <v>44562</v>
      </c>
      <c r="H44" s="3">
        <v>889.2</v>
      </c>
      <c r="I44" s="16">
        <v>0</v>
      </c>
      <c r="J44" s="82">
        <f t="shared" si="0"/>
        <v>50000</v>
      </c>
      <c r="K44" s="90">
        <v>889.2</v>
      </c>
      <c r="L44" s="90">
        <v>889.2</v>
      </c>
      <c r="M44" s="87">
        <v>889.2</v>
      </c>
      <c r="N44" s="87">
        <v>889.2</v>
      </c>
      <c r="O44" s="87">
        <v>889.2</v>
      </c>
      <c r="P44" s="87">
        <v>889.2</v>
      </c>
      <c r="Q44" s="87">
        <v>889.2</v>
      </c>
      <c r="R44" s="167">
        <v>0</v>
      </c>
      <c r="S44" s="87">
        <v>889.2</v>
      </c>
      <c r="T44" s="167">
        <v>0</v>
      </c>
      <c r="U44" s="87">
        <v>889.2</v>
      </c>
      <c r="V44" s="167">
        <v>0</v>
      </c>
      <c r="W44" s="106">
        <f t="shared" si="1"/>
        <v>8002.7999999999993</v>
      </c>
      <c r="X44" s="101">
        <f t="shared" si="2"/>
        <v>41997.2</v>
      </c>
      <c r="Y44" s="101" t="str">
        <f t="shared" si="3"/>
        <v>current</v>
      </c>
      <c r="Z44" s="102">
        <f t="shared" ref="Z44:Z46" si="5">H44*9-(K44+L44+M44+N44+O44+P44+Q44+S44+U44)</f>
        <v>0</v>
      </c>
    </row>
    <row r="45" spans="1:26">
      <c r="A45" s="133">
        <v>100117</v>
      </c>
      <c r="B45" s="4" t="s">
        <v>165</v>
      </c>
      <c r="C45" s="4" t="s">
        <v>166</v>
      </c>
      <c r="D45" s="4" t="s">
        <v>167</v>
      </c>
      <c r="E45" s="5">
        <v>20000</v>
      </c>
      <c r="F45" s="6">
        <v>44470</v>
      </c>
      <c r="G45" s="6">
        <v>44562</v>
      </c>
      <c r="H45" s="3">
        <v>355.68</v>
      </c>
      <c r="I45" s="16">
        <v>0</v>
      </c>
      <c r="J45" s="82">
        <f t="shared" si="0"/>
        <v>20000</v>
      </c>
      <c r="K45" s="90">
        <v>355.68</v>
      </c>
      <c r="L45" s="83">
        <v>355.68</v>
      </c>
      <c r="M45" s="83">
        <v>355.68</v>
      </c>
      <c r="N45" s="83">
        <v>355.68</v>
      </c>
      <c r="O45" s="83">
        <v>355.68</v>
      </c>
      <c r="P45" s="87">
        <v>355.68</v>
      </c>
      <c r="Q45" s="87">
        <v>355.68</v>
      </c>
      <c r="R45" s="82">
        <v>0</v>
      </c>
      <c r="S45" s="87">
        <v>355.68</v>
      </c>
      <c r="T45" s="167">
        <v>0</v>
      </c>
      <c r="U45" s="87">
        <v>355.68</v>
      </c>
      <c r="V45" s="167">
        <v>0</v>
      </c>
      <c r="W45" s="106">
        <f t="shared" si="1"/>
        <v>3201.1199999999994</v>
      </c>
      <c r="X45" s="101">
        <f t="shared" si="2"/>
        <v>16798.88</v>
      </c>
      <c r="Y45" s="101" t="str">
        <f t="shared" si="3"/>
        <v>current</v>
      </c>
      <c r="Z45" s="102">
        <f t="shared" si="5"/>
        <v>0</v>
      </c>
    </row>
    <row r="46" spans="1:26">
      <c r="A46" s="133">
        <v>100376</v>
      </c>
      <c r="B46" s="4" t="s">
        <v>116</v>
      </c>
      <c r="C46" s="4" t="s">
        <v>168</v>
      </c>
      <c r="D46" s="4" t="s">
        <v>169</v>
      </c>
      <c r="E46" s="5">
        <v>50000</v>
      </c>
      <c r="F46" s="6">
        <v>44470</v>
      </c>
      <c r="G46" s="6">
        <v>44562</v>
      </c>
      <c r="H46" s="3">
        <v>889.2</v>
      </c>
      <c r="I46" s="16">
        <v>0</v>
      </c>
      <c r="J46" s="82">
        <f t="shared" si="0"/>
        <v>50000</v>
      </c>
      <c r="K46" s="90">
        <v>889.2</v>
      </c>
      <c r="L46" s="83">
        <v>889.2</v>
      </c>
      <c r="M46" s="83">
        <v>889.2</v>
      </c>
      <c r="N46" s="83">
        <v>889.2</v>
      </c>
      <c r="O46" s="83">
        <v>889.2</v>
      </c>
      <c r="P46" s="87">
        <v>889.2</v>
      </c>
      <c r="Q46" s="87">
        <v>889.2</v>
      </c>
      <c r="R46" s="167">
        <v>0</v>
      </c>
      <c r="S46" s="87">
        <v>889.2</v>
      </c>
      <c r="T46" s="167">
        <v>0</v>
      </c>
      <c r="U46" s="87">
        <v>889.2</v>
      </c>
      <c r="V46" s="167">
        <v>0</v>
      </c>
      <c r="W46" s="106">
        <f t="shared" si="1"/>
        <v>8002.7999999999993</v>
      </c>
      <c r="X46" s="101">
        <f t="shared" si="2"/>
        <v>41997.2</v>
      </c>
      <c r="Y46" s="101" t="str">
        <f t="shared" si="3"/>
        <v>current</v>
      </c>
      <c r="Z46" s="102">
        <f t="shared" si="5"/>
        <v>0</v>
      </c>
    </row>
    <row r="47" spans="1:26">
      <c r="A47" s="133">
        <v>100074</v>
      </c>
      <c r="B47" s="4" t="s">
        <v>58</v>
      </c>
      <c r="C47" s="4" t="s">
        <v>59</v>
      </c>
      <c r="D47" s="4" t="s">
        <v>60</v>
      </c>
      <c r="E47" s="5">
        <v>50000</v>
      </c>
      <c r="F47" s="6">
        <v>44271</v>
      </c>
      <c r="G47" s="6">
        <v>44378</v>
      </c>
      <c r="H47" s="3">
        <v>889.2</v>
      </c>
      <c r="I47" s="16">
        <v>1778.4</v>
      </c>
      <c r="J47" s="82">
        <f t="shared" si="0"/>
        <v>48221.599999999999</v>
      </c>
      <c r="K47" s="164">
        <v>0</v>
      </c>
      <c r="L47" s="164">
        <v>0</v>
      </c>
      <c r="M47" s="82">
        <v>0</v>
      </c>
      <c r="N47" s="82">
        <v>0</v>
      </c>
      <c r="O47" s="83">
        <v>2750</v>
      </c>
      <c r="P47" s="167">
        <v>0</v>
      </c>
      <c r="Q47" s="167">
        <v>330.95</v>
      </c>
      <c r="R47" s="167">
        <v>0</v>
      </c>
      <c r="S47" s="167">
        <v>330.95</v>
      </c>
      <c r="T47" s="167">
        <v>0</v>
      </c>
      <c r="U47" s="167">
        <v>330.95</v>
      </c>
      <c r="V47" s="167">
        <v>0</v>
      </c>
      <c r="W47" s="106">
        <f>K47+L47+M47+N47+O47+P47+Q47+S47+U47</f>
        <v>3742.8499999999995</v>
      </c>
      <c r="X47" s="101">
        <f>16985.5-O47-Q47-S47</f>
        <v>13573.599999999999</v>
      </c>
      <c r="Y47" s="106" t="str">
        <f t="shared" si="3"/>
        <v>current</v>
      </c>
      <c r="Z47" s="102">
        <v>0</v>
      </c>
    </row>
    <row r="48" spans="1:26">
      <c r="A48" s="133">
        <v>100389</v>
      </c>
      <c r="B48" s="4" t="s">
        <v>375</v>
      </c>
      <c r="C48" s="4" t="s">
        <v>376</v>
      </c>
      <c r="D48" s="4" t="s">
        <v>377</v>
      </c>
      <c r="E48" s="5">
        <v>50000</v>
      </c>
      <c r="F48" s="6">
        <v>44775</v>
      </c>
      <c r="G48" s="6">
        <v>44866</v>
      </c>
      <c r="H48" s="3">
        <v>889.2</v>
      </c>
      <c r="I48" s="16">
        <v>0</v>
      </c>
      <c r="J48" s="164">
        <v>0</v>
      </c>
      <c r="K48" s="164">
        <v>0</v>
      </c>
      <c r="L48" s="164">
        <v>0</v>
      </c>
      <c r="M48" s="164">
        <v>0</v>
      </c>
      <c r="N48" s="164">
        <v>0</v>
      </c>
      <c r="O48" s="164">
        <v>0</v>
      </c>
      <c r="P48" s="165">
        <v>0</v>
      </c>
      <c r="Q48" s="165">
        <v>0</v>
      </c>
      <c r="R48" s="167">
        <v>0</v>
      </c>
      <c r="S48" s="167"/>
      <c r="T48" s="167">
        <v>0</v>
      </c>
      <c r="U48" s="167"/>
      <c r="V48" s="167">
        <v>0</v>
      </c>
      <c r="W48" s="106">
        <f t="shared" ref="W48" si="6">K48+L48+M48+N48+O48+P48+Q48</f>
        <v>0</v>
      </c>
      <c r="X48" s="106">
        <f>E48-I48-W48</f>
        <v>50000</v>
      </c>
      <c r="Y48" s="106" t="str">
        <f t="shared" ref="Y48" si="7">IF(Z48=0,"current","Not Current")</f>
        <v>current</v>
      </c>
      <c r="Z48" s="90">
        <v>0</v>
      </c>
    </row>
    <row r="49" spans="1:27">
      <c r="A49" s="133">
        <v>100399</v>
      </c>
      <c r="B49" s="4" t="s">
        <v>85</v>
      </c>
      <c r="C49" s="4" t="s">
        <v>86</v>
      </c>
      <c r="D49" s="4" t="s">
        <v>87</v>
      </c>
      <c r="E49" s="5">
        <v>50000</v>
      </c>
      <c r="F49" s="6">
        <v>44273</v>
      </c>
      <c r="G49" s="6">
        <v>44378</v>
      </c>
      <c r="H49" s="3">
        <v>889.2</v>
      </c>
      <c r="I49" s="16">
        <v>50000</v>
      </c>
      <c r="J49" s="82">
        <f t="shared" si="0"/>
        <v>0</v>
      </c>
      <c r="K49" s="90" t="s">
        <v>143</v>
      </c>
      <c r="L49" s="164">
        <v>0</v>
      </c>
      <c r="M49" s="164">
        <v>0</v>
      </c>
      <c r="N49" s="164">
        <v>0</v>
      </c>
      <c r="O49" s="164">
        <v>0</v>
      </c>
      <c r="P49" s="165">
        <v>0</v>
      </c>
      <c r="Q49" s="165">
        <v>0</v>
      </c>
      <c r="R49" s="165">
        <v>0</v>
      </c>
      <c r="S49" s="165"/>
      <c r="T49" s="165">
        <v>0</v>
      </c>
      <c r="U49" s="165"/>
      <c r="V49" s="165">
        <v>0</v>
      </c>
      <c r="W49" s="90" t="s">
        <v>143</v>
      </c>
      <c r="X49" s="90" t="s">
        <v>143</v>
      </c>
      <c r="Y49" s="107" t="s">
        <v>88</v>
      </c>
      <c r="Z49" s="90" t="s">
        <v>143</v>
      </c>
    </row>
    <row r="50" spans="1:27">
      <c r="A50" s="79"/>
      <c r="B50" s="76"/>
      <c r="C50" s="76"/>
      <c r="D50" s="76"/>
      <c r="E50" s="77">
        <f>SUM(E2:E49)</f>
        <v>1702500</v>
      </c>
      <c r="F50" s="78"/>
      <c r="G50" s="78"/>
      <c r="H50" s="78" t="s">
        <v>170</v>
      </c>
      <c r="I50" s="91">
        <f>SUM(I2:I49)</f>
        <v>200661.87999999995</v>
      </c>
      <c r="J50" s="91"/>
      <c r="K50" s="92">
        <f>SUM(K2:K47)</f>
        <v>29433.720000000005</v>
      </c>
      <c r="L50" s="92">
        <f>SUM(L2:L47)</f>
        <v>28215.520000000004</v>
      </c>
      <c r="M50" s="92">
        <f>SUM(M2:M47)</f>
        <v>29442.610000000008</v>
      </c>
      <c r="N50" s="92">
        <f>SUM(N2:N47)</f>
        <v>28366.680000000004</v>
      </c>
      <c r="O50" s="92">
        <f t="shared" ref="O50:X50" si="8">SUM(O2:O49)</f>
        <v>31232.280000000006</v>
      </c>
      <c r="P50" s="92">
        <f t="shared" si="8"/>
        <v>27566.400000000005</v>
      </c>
      <c r="Q50" s="92">
        <f>SUM(Q2:Q49)</f>
        <v>24445.030000000006</v>
      </c>
      <c r="R50" s="92">
        <f t="shared" ref="R50:V50" si="9">SUM(R2:R49)</f>
        <v>2945.4799999999996</v>
      </c>
      <c r="S50" s="92">
        <f t="shared" si="9"/>
        <v>25252.769999999993</v>
      </c>
      <c r="T50" s="92">
        <f>SUM(T2:T49)</f>
        <v>3249.2400000000007</v>
      </c>
      <c r="U50" s="92">
        <f t="shared" si="9"/>
        <v>61256.939999999988</v>
      </c>
      <c r="V50" s="92">
        <f t="shared" si="9"/>
        <v>3181.28</v>
      </c>
      <c r="W50" s="108">
        <f>SUM(W2:W49)</f>
        <v>284996.18999999989</v>
      </c>
      <c r="X50" s="109">
        <f>SUM(X2:X49)</f>
        <v>1185936.7799999998</v>
      </c>
      <c r="Y50" s="109"/>
      <c r="Z50" s="109">
        <f>SUM(Z2:Z48)</f>
        <v>7549.3099999999995</v>
      </c>
    </row>
    <row r="51" spans="1:27" ht="15" thickBot="1">
      <c r="G51" s="174"/>
      <c r="W51" s="110"/>
      <c r="X51" s="111"/>
      <c r="Y51" s="111"/>
    </row>
    <row r="52" spans="1:27" ht="15" thickBot="1">
      <c r="A52" s="176" t="s">
        <v>374</v>
      </c>
      <c r="B52" s="177"/>
      <c r="C52" s="177"/>
      <c r="D52" s="178"/>
      <c r="I52" s="13"/>
      <c r="W52" s="110"/>
      <c r="X52" s="112"/>
      <c r="Y52" s="112"/>
      <c r="AA52" s="13"/>
    </row>
    <row r="53" spans="1:27">
      <c r="A53" s="157" t="s">
        <v>171</v>
      </c>
      <c r="B53" s="156" t="s">
        <v>172</v>
      </c>
      <c r="C53" s="156" t="s">
        <v>170</v>
      </c>
      <c r="D53" s="158" t="s">
        <v>173</v>
      </c>
      <c r="O53" s="79"/>
      <c r="P53" s="93"/>
      <c r="Q53" s="93"/>
      <c r="R53" s="93"/>
      <c r="S53" s="93"/>
      <c r="T53" s="93"/>
      <c r="U53" s="93"/>
      <c r="V53" s="93"/>
      <c r="Z53"/>
    </row>
    <row r="54" spans="1:27">
      <c r="A54" s="161">
        <v>20416.04</v>
      </c>
      <c r="B54" s="94">
        <v>0</v>
      </c>
      <c r="C54" s="95">
        <f>A54+B54</f>
        <v>20416.04</v>
      </c>
      <c r="D54" s="159">
        <v>44378</v>
      </c>
      <c r="O54" s="96"/>
      <c r="P54" s="97"/>
      <c r="Q54" s="97"/>
      <c r="R54" s="97"/>
      <c r="S54" s="97"/>
      <c r="T54" s="97"/>
      <c r="U54" s="97"/>
      <c r="V54" s="97"/>
      <c r="Y54" s="113"/>
      <c r="Z54"/>
    </row>
    <row r="55" spans="1:27">
      <c r="A55" s="161">
        <v>27324.01</v>
      </c>
      <c r="B55" s="94">
        <v>0</v>
      </c>
      <c r="C55" s="95">
        <f t="shared" ref="C55:C60" si="10">A55+B55</f>
        <v>27324.01</v>
      </c>
      <c r="D55" s="159">
        <v>44409</v>
      </c>
      <c r="O55" s="96"/>
      <c r="P55" s="97"/>
      <c r="Q55" s="97"/>
      <c r="R55" s="97"/>
      <c r="S55" s="97"/>
      <c r="T55" s="97"/>
      <c r="U55" s="97"/>
      <c r="V55" s="97"/>
      <c r="X55" s="190"/>
      <c r="Z55"/>
    </row>
    <row r="56" spans="1:27">
      <c r="A56" s="161">
        <v>24399.65</v>
      </c>
      <c r="B56" s="94">
        <v>0</v>
      </c>
      <c r="C56" s="95">
        <f t="shared" si="10"/>
        <v>24399.65</v>
      </c>
      <c r="D56" s="159">
        <v>44440</v>
      </c>
      <c r="F56" s="79"/>
      <c r="O56" s="96"/>
      <c r="P56" s="97"/>
      <c r="Q56" s="154"/>
      <c r="R56" s="154"/>
      <c r="S56" s="154"/>
      <c r="T56" s="154"/>
      <c r="U56" s="154"/>
      <c r="V56" s="154"/>
      <c r="X56" s="184"/>
      <c r="Z56"/>
    </row>
    <row r="57" spans="1:27">
      <c r="A57" s="161">
        <v>25920.18</v>
      </c>
      <c r="B57" s="94">
        <v>0</v>
      </c>
      <c r="C57" s="95">
        <f t="shared" si="10"/>
        <v>25920.18</v>
      </c>
      <c r="D57" s="159">
        <v>44470</v>
      </c>
      <c r="F57" s="80"/>
      <c r="O57" s="187" t="s">
        <v>387</v>
      </c>
      <c r="P57" s="154"/>
      <c r="Q57" s="154"/>
      <c r="R57" s="154"/>
      <c r="S57" s="154">
        <v>1652500</v>
      </c>
      <c r="T57" s="154"/>
      <c r="U57" s="154"/>
      <c r="V57" s="154"/>
      <c r="W57" s="155"/>
      <c r="X57" s="190"/>
      <c r="Z57" s="115"/>
      <c r="AA57" s="116"/>
    </row>
    <row r="58" spans="1:27">
      <c r="A58" s="166">
        <v>47332.4</v>
      </c>
      <c r="B58" s="94">
        <v>0</v>
      </c>
      <c r="C58" s="95">
        <f t="shared" si="10"/>
        <v>47332.4</v>
      </c>
      <c r="D58" s="160" t="s">
        <v>195</v>
      </c>
      <c r="F58" s="80"/>
      <c r="O58" s="188" t="s">
        <v>395</v>
      </c>
      <c r="P58" s="128"/>
      <c r="Q58" s="128"/>
      <c r="R58" s="128"/>
      <c r="S58" s="154">
        <v>485476.73</v>
      </c>
      <c r="T58" s="128"/>
      <c r="U58" s="128"/>
      <c r="V58" s="128"/>
      <c r="W58" s="155"/>
      <c r="Z58" s="117"/>
      <c r="AA58" s="116"/>
    </row>
    <row r="59" spans="1:27">
      <c r="A59" s="166">
        <v>25564.5</v>
      </c>
      <c r="B59" s="94">
        <v>0</v>
      </c>
      <c r="C59" s="95">
        <f t="shared" si="10"/>
        <v>25564.5</v>
      </c>
      <c r="D59" s="159">
        <v>44501</v>
      </c>
      <c r="F59" s="80"/>
      <c r="O59" s="96"/>
      <c r="P59" s="154"/>
      <c r="Q59" s="97"/>
      <c r="R59" s="97"/>
      <c r="S59" s="154">
        <f>S57-S58</f>
        <v>1167023.27</v>
      </c>
      <c r="T59" s="97"/>
      <c r="U59" s="189"/>
      <c r="V59" s="97"/>
      <c r="X59" s="191"/>
      <c r="Z59" s="117"/>
      <c r="AA59" s="116"/>
    </row>
    <row r="60" spans="1:27">
      <c r="A60" s="166">
        <v>29523.759999999998</v>
      </c>
      <c r="B60" s="94">
        <f>55.05+60.45+65.84</f>
        <v>181.34</v>
      </c>
      <c r="C60" s="95">
        <f t="shared" si="10"/>
        <v>29705.1</v>
      </c>
      <c r="D60" s="159">
        <v>44531</v>
      </c>
      <c r="F60" s="80"/>
      <c r="O60" s="187" t="s">
        <v>396</v>
      </c>
      <c r="P60" s="154"/>
      <c r="Q60" s="97"/>
      <c r="R60" s="97"/>
      <c r="S60" s="154">
        <v>31236.1</v>
      </c>
      <c r="T60" s="97"/>
      <c r="U60" s="97"/>
      <c r="V60" s="97"/>
      <c r="X60" s="191"/>
      <c r="Z60" s="115"/>
      <c r="AA60" s="116"/>
    </row>
    <row r="61" spans="1:27">
      <c r="A61" s="166">
        <f>29433.72-49.62</f>
        <v>29384.100000000002</v>
      </c>
      <c r="B61" s="94">
        <v>49.62</v>
      </c>
      <c r="C61" s="95">
        <v>29433.72</v>
      </c>
      <c r="D61" s="159">
        <v>44562</v>
      </c>
      <c r="F61" s="80"/>
      <c r="O61" s="96"/>
      <c r="P61" s="154"/>
      <c r="Q61" s="97"/>
      <c r="R61" s="97"/>
      <c r="S61" s="154">
        <f>S59-S60</f>
        <v>1135787.17</v>
      </c>
      <c r="T61" s="97"/>
      <c r="U61" s="97"/>
      <c r="V61" s="97"/>
      <c r="Z61" s="115"/>
      <c r="AA61" s="116"/>
    </row>
    <row r="62" spans="1:27">
      <c r="A62" s="166">
        <f>28215.52-44.18</f>
        <v>28171.34</v>
      </c>
      <c r="B62" s="94">
        <v>44.18</v>
      </c>
      <c r="C62" s="95">
        <v>28215.52</v>
      </c>
      <c r="D62" s="159">
        <v>44593</v>
      </c>
      <c r="F62" s="80"/>
      <c r="O62" s="187" t="s">
        <v>398</v>
      </c>
      <c r="P62" s="154"/>
      <c r="Q62" s="97"/>
      <c r="R62" s="97"/>
      <c r="S62" s="154"/>
      <c r="T62" s="97"/>
      <c r="U62" s="97"/>
      <c r="V62" s="97"/>
      <c r="Z62" s="115"/>
      <c r="AA62" s="116"/>
    </row>
    <row r="63" spans="1:27">
      <c r="A63" s="166">
        <f>29442.61-38.72</f>
        <v>29403.89</v>
      </c>
      <c r="B63" s="94">
        <v>38.72</v>
      </c>
      <c r="C63" s="95">
        <v>29442.61</v>
      </c>
      <c r="D63" s="159">
        <v>44621</v>
      </c>
      <c r="F63" s="80"/>
      <c r="O63" s="187" t="s">
        <v>377</v>
      </c>
      <c r="P63" s="97"/>
      <c r="Q63" s="97"/>
      <c r="R63" s="97"/>
      <c r="S63" s="154">
        <v>50000</v>
      </c>
      <c r="T63" s="97"/>
      <c r="U63" s="97"/>
      <c r="V63" s="97"/>
      <c r="Z63"/>
    </row>
    <row r="64" spans="1:27">
      <c r="A64" s="161">
        <f>C64-B64</f>
        <v>28333.43</v>
      </c>
      <c r="B64" s="99">
        <v>33.25</v>
      </c>
      <c r="C64" s="95">
        <v>28366.68</v>
      </c>
      <c r="D64" s="159">
        <v>44673</v>
      </c>
      <c r="F64" s="80"/>
      <c r="O64" s="96"/>
      <c r="P64" s="97"/>
      <c r="Q64" s="97"/>
      <c r="R64" s="97"/>
      <c r="S64" s="154"/>
      <c r="T64" s="97"/>
      <c r="U64" s="97"/>
      <c r="V64" s="97"/>
      <c r="Z64"/>
    </row>
    <row r="65" spans="1:26">
      <c r="A65" s="161">
        <f>C65-B65</f>
        <v>31204.53</v>
      </c>
      <c r="B65" s="99">
        <v>27.75</v>
      </c>
      <c r="C65" s="95">
        <v>31232.28</v>
      </c>
      <c r="D65" s="159">
        <v>44703</v>
      </c>
      <c r="F65" s="80"/>
      <c r="O65" s="192" t="s">
        <v>394</v>
      </c>
      <c r="P65" s="97"/>
      <c r="Q65" s="97"/>
      <c r="R65" s="97"/>
      <c r="S65" s="154">
        <f>S61+S63</f>
        <v>1185787.17</v>
      </c>
      <c r="T65" s="97"/>
      <c r="U65" s="97"/>
      <c r="V65" s="97"/>
      <c r="Z65"/>
    </row>
    <row r="66" spans="1:26">
      <c r="A66" s="161">
        <f>C66-B66</f>
        <v>27544.16</v>
      </c>
      <c r="B66" s="99">
        <v>22.24</v>
      </c>
      <c r="C66" s="95">
        <v>27566.400000000001</v>
      </c>
      <c r="D66" s="159">
        <v>44734</v>
      </c>
      <c r="F66" s="80"/>
      <c r="O66" s="100"/>
      <c r="P66" s="97"/>
      <c r="Q66" s="97"/>
      <c r="R66" s="97"/>
      <c r="S66" s="97"/>
      <c r="T66" s="97"/>
      <c r="U66" s="97"/>
      <c r="V66" s="97"/>
      <c r="Z66"/>
    </row>
    <row r="67" spans="1:26">
      <c r="A67" s="161">
        <f>C67-B67</f>
        <v>24445.03</v>
      </c>
      <c r="B67" s="99">
        <v>2945.48</v>
      </c>
      <c r="C67" s="95">
        <v>27390.51</v>
      </c>
      <c r="D67" s="159">
        <v>44773</v>
      </c>
      <c r="F67" s="80"/>
      <c r="O67" s="192" t="s">
        <v>397</v>
      </c>
      <c r="P67" s="97"/>
      <c r="Q67" s="97"/>
      <c r="R67" s="97"/>
      <c r="S67" s="154">
        <f>S58-S63</f>
        <v>435476.73</v>
      </c>
      <c r="T67" s="97"/>
      <c r="U67" s="97"/>
      <c r="V67" s="97"/>
      <c r="Z67"/>
    </row>
    <row r="68" spans="1:26">
      <c r="A68" s="161">
        <f>C68-B68</f>
        <v>25252.769999999997</v>
      </c>
      <c r="B68" s="99">
        <v>3249.24</v>
      </c>
      <c r="C68" s="95">
        <v>28502.01</v>
      </c>
      <c r="D68" s="159">
        <v>44795</v>
      </c>
      <c r="F68" s="80"/>
      <c r="T68" s="97"/>
      <c r="U68" s="97"/>
      <c r="V68" s="97"/>
      <c r="Z68"/>
    </row>
    <row r="69" spans="1:26">
      <c r="A69" s="161">
        <f>C69-B69</f>
        <v>61256.94</v>
      </c>
      <c r="B69" s="99">
        <v>3181.28</v>
      </c>
      <c r="C69" s="95">
        <v>64438.22</v>
      </c>
      <c r="D69" s="159">
        <v>44826</v>
      </c>
      <c r="F69" s="80"/>
      <c r="O69" s="192" t="s">
        <v>399</v>
      </c>
      <c r="P69" s="97"/>
      <c r="Q69" s="97"/>
      <c r="R69" s="97"/>
      <c r="S69" s="154">
        <v>9773.1</v>
      </c>
      <c r="T69" s="97"/>
      <c r="U69" s="97"/>
      <c r="V69" s="97"/>
      <c r="Z69"/>
    </row>
    <row r="70" spans="1:26">
      <c r="A70" s="161">
        <f>SUM(A54:A69)</f>
        <v>485476.72999999992</v>
      </c>
      <c r="B70" s="99">
        <f>SUM(B54:B69)</f>
        <v>9773.1</v>
      </c>
      <c r="C70" s="99">
        <f>SUM(C54:C69)</f>
        <v>495249.82999999996</v>
      </c>
      <c r="D70" s="162" t="s">
        <v>170</v>
      </c>
      <c r="F70" s="80"/>
      <c r="O70" s="118"/>
      <c r="P70" s="119"/>
      <c r="Q70" s="119"/>
      <c r="R70" s="119"/>
      <c r="S70" s="119"/>
      <c r="T70" s="119"/>
      <c r="U70" s="119"/>
      <c r="V70" s="119"/>
    </row>
    <row r="72" spans="1:26">
      <c r="A72" s="186">
        <v>50000</v>
      </c>
      <c r="B72" t="s">
        <v>378</v>
      </c>
    </row>
    <row r="73" spans="1:26">
      <c r="A73" s="113">
        <f>A70-A72</f>
        <v>435476.72999999992</v>
      </c>
      <c r="B73" s="184" t="s">
        <v>386</v>
      </c>
    </row>
    <row r="88" spans="1:1">
      <c r="A88" s="71" t="s">
        <v>196</v>
      </c>
    </row>
    <row r="89" spans="1:1">
      <c r="A89" s="133" t="s">
        <v>197</v>
      </c>
    </row>
    <row r="90" spans="1:1">
      <c r="A90" s="71" t="s">
        <v>198</v>
      </c>
    </row>
  </sheetData>
  <autoFilter ref="A1:X50" xr:uid="{00000000-0009-0000-0000-000002000000}"/>
  <mergeCells count="1">
    <mergeCell ref="A52:D52"/>
  </mergeCells>
  <conditionalFormatting sqref="B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66251-6B64-436A-B194-FE3B56539E4A}">
  <dimension ref="A1:B7"/>
  <sheetViews>
    <sheetView workbookViewId="0">
      <selection activeCell="E37" sqref="E37"/>
    </sheetView>
  </sheetViews>
  <sheetFormatPr defaultRowHeight="14.4"/>
  <cols>
    <col min="1" max="1" width="8.77734375" customWidth="1"/>
    <col min="2" max="2" width="8" bestFit="1" customWidth="1"/>
  </cols>
  <sheetData>
    <row r="1" spans="1:2">
      <c r="A1" s="184" t="s">
        <v>393</v>
      </c>
    </row>
    <row r="2" spans="1:2">
      <c r="A2" s="190" t="s">
        <v>388</v>
      </c>
      <c r="B2" s="71">
        <v>50000</v>
      </c>
    </row>
    <row r="3" spans="1:2">
      <c r="A3" s="184" t="s">
        <v>390</v>
      </c>
      <c r="B3" s="71">
        <v>1778.4</v>
      </c>
    </row>
    <row r="4" spans="1:2">
      <c r="A4" s="190" t="s">
        <v>391</v>
      </c>
      <c r="B4" s="71">
        <f>B2-B3</f>
        <v>48221.599999999999</v>
      </c>
    </row>
    <row r="5" spans="1:2">
      <c r="A5" s="71"/>
      <c r="B5" s="71"/>
    </row>
    <row r="6" spans="1:2">
      <c r="A6" s="191" t="s">
        <v>389</v>
      </c>
      <c r="B6" s="71">
        <v>16985.5</v>
      </c>
    </row>
    <row r="7" spans="1:2">
      <c r="A7" s="191" t="s">
        <v>392</v>
      </c>
      <c r="B7" s="71">
        <f>B4-B6</f>
        <v>31236.1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31"/>
  <sheetViews>
    <sheetView tabSelected="1" zoomScale="115" zoomScaleNormal="115" workbookViewId="0">
      <selection activeCell="F19" sqref="F19"/>
    </sheetView>
  </sheetViews>
  <sheetFormatPr defaultColWidth="9" defaultRowHeight="14.4"/>
  <cols>
    <col min="1" max="1" width="32.5546875" customWidth="1"/>
    <col min="2" max="2" width="14" customWidth="1"/>
    <col min="3" max="3" width="15.109375" customWidth="1"/>
    <col min="4" max="4" width="23.33203125" customWidth="1"/>
    <col min="5" max="5" width="19.109375" customWidth="1"/>
    <col min="6" max="6" width="37.109375" customWidth="1"/>
    <col min="7" max="7" width="33.5546875" customWidth="1"/>
    <col min="8" max="8" width="11.5546875" customWidth="1"/>
    <col min="9" max="9" width="25" customWidth="1"/>
    <col min="10" max="10" width="18.44140625" customWidth="1"/>
  </cols>
  <sheetData>
    <row r="1" spans="1:7" ht="18">
      <c r="A1" s="179" t="s">
        <v>199</v>
      </c>
      <c r="B1" s="180"/>
      <c r="C1" s="181"/>
      <c r="D1" s="181"/>
      <c r="E1" s="181"/>
      <c r="F1" s="181"/>
      <c r="G1" s="182"/>
    </row>
    <row r="2" spans="1:7">
      <c r="A2" s="15"/>
      <c r="B2" s="15"/>
      <c r="C2" s="15"/>
      <c r="D2" s="15"/>
      <c r="E2" s="15"/>
      <c r="F2" s="15"/>
      <c r="G2" s="15"/>
    </row>
    <row r="3" spans="1:7" s="18" customFormat="1" ht="13.2">
      <c r="A3" s="19" t="s">
        <v>200</v>
      </c>
      <c r="B3" s="19" t="s">
        <v>201</v>
      </c>
      <c r="C3" s="20" t="s">
        <v>202</v>
      </c>
      <c r="D3" s="20" t="s">
        <v>203</v>
      </c>
      <c r="E3" s="20" t="s">
        <v>204</v>
      </c>
      <c r="F3" s="20" t="s">
        <v>205</v>
      </c>
      <c r="G3" s="20" t="s">
        <v>206</v>
      </c>
    </row>
    <row r="4" spans="1:7">
      <c r="A4" s="21" t="s">
        <v>207</v>
      </c>
      <c r="B4" s="22" t="s">
        <v>208</v>
      </c>
      <c r="C4" s="23">
        <v>200000</v>
      </c>
      <c r="D4" s="23">
        <f>85938.72+'[2]Loan 4'!C38</f>
        <v>200000</v>
      </c>
      <c r="E4" s="23">
        <f t="shared" ref="E4:E22" si="0">+C4-D4</f>
        <v>0</v>
      </c>
      <c r="F4" s="24" t="s">
        <v>209</v>
      </c>
      <c r="G4" s="21" t="s">
        <v>210</v>
      </c>
    </row>
    <row r="5" spans="1:7">
      <c r="A5" s="21" t="s">
        <v>211</v>
      </c>
      <c r="B5" s="22" t="s">
        <v>212</v>
      </c>
      <c r="C5" s="23">
        <v>125000</v>
      </c>
      <c r="D5" s="23">
        <f>46608.41+'[2]Loan 2'!C39</f>
        <v>51906.960000000006</v>
      </c>
      <c r="E5" s="23">
        <v>0</v>
      </c>
      <c r="F5" s="24" t="s">
        <v>213</v>
      </c>
      <c r="G5" s="21" t="s">
        <v>214</v>
      </c>
    </row>
    <row r="6" spans="1:7">
      <c r="A6" s="21" t="s">
        <v>215</v>
      </c>
      <c r="B6" s="22" t="s">
        <v>216</v>
      </c>
      <c r="C6" s="23">
        <v>300000</v>
      </c>
      <c r="D6" s="23">
        <v>300000</v>
      </c>
      <c r="E6" s="23">
        <f t="shared" si="0"/>
        <v>0</v>
      </c>
      <c r="F6" s="24" t="s">
        <v>209</v>
      </c>
      <c r="G6" s="21" t="s">
        <v>217</v>
      </c>
    </row>
    <row r="7" spans="1:7">
      <c r="A7" s="21" t="s">
        <v>218</v>
      </c>
      <c r="B7" s="22" t="s">
        <v>219</v>
      </c>
      <c r="C7" s="23">
        <v>139000</v>
      </c>
      <c r="D7" s="23">
        <v>34282.769999999997</v>
      </c>
      <c r="E7" s="23">
        <v>0</v>
      </c>
      <c r="F7" s="24" t="s">
        <v>220</v>
      </c>
      <c r="G7" s="21" t="s">
        <v>221</v>
      </c>
    </row>
    <row r="8" spans="1:7">
      <c r="A8" s="21" t="s">
        <v>222</v>
      </c>
      <c r="B8" s="22" t="s">
        <v>223</v>
      </c>
      <c r="C8" s="23">
        <v>300000</v>
      </c>
      <c r="D8" s="23">
        <v>300000</v>
      </c>
      <c r="E8" s="23">
        <f t="shared" si="0"/>
        <v>0</v>
      </c>
      <c r="F8" s="24" t="s">
        <v>209</v>
      </c>
      <c r="G8" s="21" t="s">
        <v>224</v>
      </c>
    </row>
    <row r="9" spans="1:7">
      <c r="A9" s="21" t="s">
        <v>225</v>
      </c>
      <c r="B9" s="22" t="s">
        <v>226</v>
      </c>
      <c r="C9" s="23">
        <v>85000</v>
      </c>
      <c r="D9" s="23">
        <v>85000</v>
      </c>
      <c r="E9" s="23">
        <f t="shared" si="0"/>
        <v>0</v>
      </c>
      <c r="F9" s="24" t="s">
        <v>209</v>
      </c>
      <c r="G9" s="21" t="s">
        <v>217</v>
      </c>
    </row>
    <row r="10" spans="1:7">
      <c r="A10" s="21" t="s">
        <v>227</v>
      </c>
      <c r="B10" s="22" t="s">
        <v>228</v>
      </c>
      <c r="C10" s="23">
        <v>203000</v>
      </c>
      <c r="D10" s="23">
        <v>42827.23</v>
      </c>
      <c r="E10" s="23">
        <v>0</v>
      </c>
      <c r="F10" s="24" t="s">
        <v>229</v>
      </c>
      <c r="G10" s="21" t="s">
        <v>230</v>
      </c>
    </row>
    <row r="11" spans="1:7">
      <c r="A11" s="21" t="s">
        <v>231</v>
      </c>
      <c r="B11" s="22" t="s">
        <v>232</v>
      </c>
      <c r="C11" s="23">
        <v>242104.11</v>
      </c>
      <c r="D11" s="23">
        <f>50140.93+'[2]Loan 7'!C59+2041.21+2048.02+2054.84+2061.69+2068.56+2075.46+2082.38+2174.44+2096.28+2103.27+2110.28+2117.32+2124.37+99512.79</f>
        <v>242104.11</v>
      </c>
      <c r="E11" s="23">
        <f t="shared" si="0"/>
        <v>0</v>
      </c>
      <c r="F11" s="24" t="s">
        <v>209</v>
      </c>
      <c r="G11" s="21" t="s">
        <v>233</v>
      </c>
    </row>
    <row r="12" spans="1:7">
      <c r="A12" s="21" t="s">
        <v>234</v>
      </c>
      <c r="B12" s="22" t="s">
        <v>235</v>
      </c>
      <c r="C12" s="23">
        <v>150000</v>
      </c>
      <c r="D12" s="23">
        <f>25415.24+'[2]Loan 9'!C36</f>
        <v>150000</v>
      </c>
      <c r="E12" s="23">
        <f t="shared" si="0"/>
        <v>0</v>
      </c>
      <c r="F12" s="24" t="s">
        <v>209</v>
      </c>
      <c r="G12" s="21" t="s">
        <v>236</v>
      </c>
    </row>
    <row r="13" spans="1:7">
      <c r="A13" s="25" t="s">
        <v>237</v>
      </c>
      <c r="B13" s="26" t="s">
        <v>238</v>
      </c>
      <c r="C13" s="27">
        <v>492982</v>
      </c>
      <c r="D13" s="27">
        <f>6765.46+'[2]Loan 10'!C48+4637.19+1556.05+1561.23+1566.44+1571.66+1576.9+1582.15+1587.43+1592.72+1598.03+1603.35+1608.7+1614.06+1619.44+1624.84+1630.26+1635.68+1641.14+1646.61+1652.1+1657.61+1663.13+3342.91+1679.82+1685.42+1691.04+1696.67+1702.99+1708+1713.7+1719.41+1725.14+1730.89+1736.66+1742.45+5244.8+1759.93+1765.8+1771.69+1777.59+1783.52+1789.46+1795.43+1801.41+1807.42+1813.44+1819.49+1825.55+1831.64+1837.74+1843.87+1850.01+1856.18</f>
        <v>157223.14999999997</v>
      </c>
      <c r="E13" s="27">
        <f t="shared" si="0"/>
        <v>335758.85000000003</v>
      </c>
      <c r="F13" s="28" t="s">
        <v>34</v>
      </c>
      <c r="G13" s="25" t="s">
        <v>239</v>
      </c>
    </row>
    <row r="14" spans="1:7">
      <c r="A14" s="25" t="s">
        <v>240</v>
      </c>
      <c r="B14" s="26" t="s">
        <v>241</v>
      </c>
      <c r="C14" s="27">
        <v>240000</v>
      </c>
      <c r="D14" s="27">
        <f>12712.16+'[2]Loan 11'!C32+116822.86-6689.69</f>
        <v>240000</v>
      </c>
      <c r="E14" s="27">
        <f t="shared" si="0"/>
        <v>0</v>
      </c>
      <c r="F14" s="24" t="s">
        <v>209</v>
      </c>
      <c r="G14" s="21" t="s">
        <v>242</v>
      </c>
    </row>
    <row r="15" spans="1:7">
      <c r="A15" s="25" t="s">
        <v>243</v>
      </c>
      <c r="B15" s="26" t="s">
        <v>244</v>
      </c>
      <c r="C15" s="27">
        <v>172800</v>
      </c>
      <c r="D15" s="27">
        <v>172800</v>
      </c>
      <c r="E15" s="27">
        <f>+C15-D15</f>
        <v>0</v>
      </c>
      <c r="F15" s="24" t="s">
        <v>209</v>
      </c>
      <c r="G15" s="21" t="s">
        <v>217</v>
      </c>
    </row>
    <row r="16" spans="1:7">
      <c r="A16" s="25" t="s">
        <v>245</v>
      </c>
      <c r="B16" s="26" t="s">
        <v>246</v>
      </c>
      <c r="C16" s="27">
        <f>358995.99</f>
        <v>358995.99</v>
      </c>
      <c r="D16" s="27">
        <f>2374.34+2383.25+2392.18+2401.15+2410.16+2419.2+2428.27+898.95+898.95+898.95+898.95</f>
        <v>20404.350000000002</v>
      </c>
      <c r="E16" s="27">
        <f t="shared" si="0"/>
        <v>338591.64</v>
      </c>
      <c r="F16" s="28" t="s">
        <v>247</v>
      </c>
      <c r="G16" s="21" t="s">
        <v>248</v>
      </c>
    </row>
    <row r="17" spans="1:10">
      <c r="A17" s="25" t="s">
        <v>249</v>
      </c>
      <c r="B17" s="26" t="s">
        <v>250</v>
      </c>
      <c r="C17" s="27">
        <v>96721</v>
      </c>
      <c r="D17" s="27">
        <f>17857.32+18571.61+19314.48+20087.06</f>
        <v>75830.47</v>
      </c>
      <c r="E17" s="27">
        <f t="shared" si="0"/>
        <v>20890.53</v>
      </c>
      <c r="F17" s="28" t="s">
        <v>34</v>
      </c>
      <c r="G17" s="21" t="s">
        <v>251</v>
      </c>
    </row>
    <row r="18" spans="1:10">
      <c r="A18" s="25" t="s">
        <v>252</v>
      </c>
      <c r="B18" s="26" t="s">
        <v>253</v>
      </c>
      <c r="C18" s="27">
        <v>102813</v>
      </c>
      <c r="D18" s="27">
        <f>698.22+700.55+702.88+705.23+707.58+2129.82+714.68+0+717.06+719.45+721.85+724.25+726.67+729.09+731.52+733.96+736.41+738.86+741.32+743.79+746.27+748.76+751.26+753.76</f>
        <v>18123.239999999998</v>
      </c>
      <c r="E18" s="27">
        <f t="shared" si="0"/>
        <v>84689.760000000009</v>
      </c>
      <c r="F18" s="28" t="s">
        <v>34</v>
      </c>
      <c r="G18" s="21" t="s">
        <v>254</v>
      </c>
    </row>
    <row r="19" spans="1:10">
      <c r="A19" s="25" t="s">
        <v>255</v>
      </c>
      <c r="B19" s="26" t="s">
        <v>256</v>
      </c>
      <c r="C19" s="27">
        <v>100000</v>
      </c>
      <c r="D19" s="27">
        <f>6198.83+2750+278+278.92+279.85</f>
        <v>9785.6</v>
      </c>
      <c r="E19" s="27">
        <f>+C19-D19-75165.67</f>
        <v>15048.729999999996</v>
      </c>
      <c r="F19" s="170" t="s">
        <v>381</v>
      </c>
      <c r="G19" s="25" t="s">
        <v>257</v>
      </c>
    </row>
    <row r="20" spans="1:10">
      <c r="A20" s="25" t="s">
        <v>258</v>
      </c>
      <c r="B20" s="26" t="s">
        <v>259</v>
      </c>
      <c r="C20" s="27">
        <v>175000</v>
      </c>
      <c r="D20" s="27">
        <f>1188.45+1192.42+1196.39+3577.27+1208.4+1200.38+1204.48+1212.42+1216.47+1220.52+1224.59+1228.67+1232.77+1236.88+1241+1245.14+1249.29+1253.45+1257.63+1261.82+1266.03+1270.25+1274.48</f>
        <v>30659.200000000001</v>
      </c>
      <c r="E20" s="27">
        <f t="shared" si="0"/>
        <v>144340.79999999999</v>
      </c>
      <c r="F20" s="28" t="s">
        <v>34</v>
      </c>
      <c r="G20" s="25" t="s">
        <v>260</v>
      </c>
    </row>
    <row r="21" spans="1:10">
      <c r="A21" s="169" t="s">
        <v>261</v>
      </c>
      <c r="B21" s="26" t="s">
        <v>262</v>
      </c>
      <c r="C21" s="27">
        <f>199050+950</f>
        <v>200000</v>
      </c>
      <c r="D21" s="27">
        <f>2067.09+2073.98+2080.9+2087.83+2094.79+2101.78+2108.78+2115.81+2122.86+2129.94+2137.04+2144.16+2151.31</f>
        <v>27416.270000000004</v>
      </c>
      <c r="E21" s="27">
        <f t="shared" si="0"/>
        <v>172583.72999999998</v>
      </c>
      <c r="F21" s="28" t="s">
        <v>34</v>
      </c>
      <c r="G21" s="25"/>
    </row>
    <row r="22" spans="1:10">
      <c r="A22" s="169" t="s">
        <v>263</v>
      </c>
      <c r="B22" s="26" t="s">
        <v>264</v>
      </c>
      <c r="C22" s="27">
        <f>234050+950</f>
        <v>235000</v>
      </c>
      <c r="D22" s="27">
        <f>1595.93+1061.25+1606.58+1611.94+1617.31+1622.7+1628.11+1633.54+1638.99+1633.54+1638.99+1644.45+1649.93+1655.43+1660.95</f>
        <v>23899.640000000003</v>
      </c>
      <c r="E22" s="27">
        <f t="shared" si="0"/>
        <v>211100.36</v>
      </c>
      <c r="F22" s="28" t="s">
        <v>34</v>
      </c>
      <c r="G22" s="25"/>
    </row>
    <row r="23" spans="1:10">
      <c r="A23" s="169" t="s">
        <v>265</v>
      </c>
      <c r="B23" s="26" t="s">
        <v>266</v>
      </c>
      <c r="C23" s="27">
        <f>24250+750</f>
        <v>25000</v>
      </c>
      <c r="D23" s="27">
        <f>390.79+391.63+392.47+393.32+394.16+395.01</f>
        <v>2357.38</v>
      </c>
      <c r="E23" s="27">
        <f>C23-D23</f>
        <v>22642.62</v>
      </c>
      <c r="F23" s="28" t="s">
        <v>34</v>
      </c>
      <c r="G23" s="25" t="s">
        <v>267</v>
      </c>
    </row>
    <row r="24" spans="1:10">
      <c r="A24" s="169" t="s">
        <v>268</v>
      </c>
      <c r="B24" s="26" t="s">
        <v>269</v>
      </c>
      <c r="C24" s="27">
        <v>150000</v>
      </c>
      <c r="D24" s="27">
        <f>2262.48+2270.02+2277.59+2285.18+2292.8</f>
        <v>11388.07</v>
      </c>
      <c r="E24" s="27">
        <f>C24-D24</f>
        <v>138611.93</v>
      </c>
      <c r="F24" s="28" t="s">
        <v>34</v>
      </c>
      <c r="G24" s="25"/>
    </row>
    <row r="25" spans="1:10" ht="15.6">
      <c r="A25" s="29" t="s">
        <v>270</v>
      </c>
      <c r="B25" s="29"/>
      <c r="C25" s="30">
        <f>SUM(C4:C24)</f>
        <v>4093416.0999999996</v>
      </c>
      <c r="D25" s="30">
        <f>SUM(D4:D24)</f>
        <v>2196008.44</v>
      </c>
      <c r="E25" s="30">
        <f>SUM(E4:E24)</f>
        <v>1484258.95</v>
      </c>
      <c r="F25" s="31"/>
      <c r="G25" s="31"/>
    </row>
    <row r="26" spans="1:10">
      <c r="C26" s="32"/>
      <c r="D26" s="32"/>
      <c r="E26" s="32"/>
      <c r="F26" s="32"/>
    </row>
    <row r="27" spans="1:10">
      <c r="C27" s="32"/>
      <c r="D27" s="32"/>
      <c r="E27" s="32"/>
      <c r="F27" s="32"/>
    </row>
    <row r="28" spans="1:10" hidden="1">
      <c r="A28" s="18" t="s">
        <v>271</v>
      </c>
      <c r="B28" s="33">
        <f>271.82+220.91+216.81+196.76+171.81</f>
        <v>1078.1099999999999</v>
      </c>
      <c r="C28" s="32"/>
      <c r="D28" s="32"/>
      <c r="E28" s="32"/>
    </row>
    <row r="29" spans="1:10">
      <c r="B29" s="33"/>
      <c r="C29" s="34"/>
      <c r="D29" s="35" t="s">
        <v>272</v>
      </c>
      <c r="E29" s="35">
        <f>E25-E10</f>
        <v>1484258.95</v>
      </c>
      <c r="G29" s="35"/>
      <c r="H29" s="35"/>
      <c r="I29" s="49"/>
      <c r="J29" s="50"/>
    </row>
    <row r="30" spans="1:10">
      <c r="A30" s="36"/>
      <c r="B30" s="37"/>
      <c r="C30" s="32"/>
      <c r="D30" s="38" t="s">
        <v>273</v>
      </c>
      <c r="E30" s="39">
        <f>B92</f>
        <v>31875.400000000081</v>
      </c>
      <c r="F30" s="34"/>
      <c r="G30" s="40"/>
      <c r="H30" s="35"/>
      <c r="I30" s="51"/>
      <c r="J30" s="52"/>
    </row>
    <row r="31" spans="1:10" ht="25.5" hidden="1" customHeight="1">
      <c r="A31" s="41" t="s">
        <v>274</v>
      </c>
      <c r="B31" s="33"/>
      <c r="D31" s="42" t="s">
        <v>274</v>
      </c>
      <c r="E31" s="35"/>
      <c r="H31" s="43"/>
      <c r="J31" s="53"/>
    </row>
    <row r="32" spans="1:10" hidden="1">
      <c r="A32" t="s">
        <v>275</v>
      </c>
      <c r="B32" s="43">
        <f>1540.59+1373.69</f>
        <v>2914.2799999999997</v>
      </c>
      <c r="D32" t="s">
        <v>276</v>
      </c>
      <c r="E32" s="43">
        <v>2318.9699999999998</v>
      </c>
      <c r="H32" s="44"/>
      <c r="I32" s="34"/>
      <c r="J32" s="53"/>
    </row>
    <row r="33" spans="1:8" hidden="1">
      <c r="A33" t="s">
        <v>277</v>
      </c>
      <c r="B33" s="43">
        <f>1545.72+1378.42</f>
        <v>2924.1400000000003</v>
      </c>
      <c r="D33" t="s">
        <v>278</v>
      </c>
      <c r="E33" s="43">
        <v>2309.1</v>
      </c>
      <c r="H33" s="44"/>
    </row>
    <row r="34" spans="1:8" hidden="1">
      <c r="A34" t="s">
        <v>279</v>
      </c>
      <c r="B34" s="43">
        <f>1550.88+1426.33</f>
        <v>2977.21</v>
      </c>
      <c r="D34" t="s">
        <v>280</v>
      </c>
      <c r="E34" s="43">
        <v>2256.0500000000002</v>
      </c>
      <c r="F34" s="44"/>
      <c r="H34" s="44"/>
    </row>
    <row r="35" spans="1:8" hidden="1">
      <c r="A35" t="s">
        <v>281</v>
      </c>
      <c r="B35" s="43">
        <f>1388.09+1556.05</f>
        <v>2944.14</v>
      </c>
      <c r="D35" t="s">
        <v>282</v>
      </c>
      <c r="E35" s="43">
        <f>441.03+1431.33+416.76</f>
        <v>2289.12</v>
      </c>
      <c r="F35" s="44"/>
      <c r="H35" s="44"/>
    </row>
    <row r="36" spans="1:8" hidden="1">
      <c r="A36" t="s">
        <v>283</v>
      </c>
      <c r="B36" s="43">
        <f>1406.94+1561.23</f>
        <v>2968.17</v>
      </c>
      <c r="D36" t="s">
        <v>284</v>
      </c>
      <c r="E36" s="43">
        <f>422.18+1426.14+416.76</f>
        <v>2265.08</v>
      </c>
      <c r="F36" s="44"/>
      <c r="H36" s="44"/>
    </row>
    <row r="37" spans="1:8" hidden="1">
      <c r="A37" t="s">
        <v>285</v>
      </c>
      <c r="B37" s="43">
        <f>1406.94+1566.44</f>
        <v>2973.38</v>
      </c>
      <c r="D37" t="s">
        <v>286</v>
      </c>
      <c r="E37" s="43">
        <f>416.76+422.18+1420.94</f>
        <v>2259.88</v>
      </c>
      <c r="F37" s="44"/>
      <c r="H37" s="44"/>
    </row>
    <row r="38" spans="1:8" hidden="1">
      <c r="A38" t="s">
        <v>287</v>
      </c>
      <c r="B38" s="43">
        <f>1406.94+1571.66</f>
        <v>2978.6000000000004</v>
      </c>
      <c r="D38" t="s">
        <v>288</v>
      </c>
      <c r="E38" s="43">
        <f>416.76+422.18+1415.72</f>
        <v>2254.66</v>
      </c>
      <c r="F38" s="44"/>
      <c r="H38" s="44"/>
    </row>
    <row r="39" spans="1:8" hidden="1">
      <c r="A39" t="s">
        <v>289</v>
      </c>
      <c r="B39" s="43">
        <f>1406.94+1576.9</f>
        <v>2983.84</v>
      </c>
      <c r="D39" t="s">
        <v>290</v>
      </c>
      <c r="E39" s="43">
        <f>416.76+422.18+1410.48</f>
        <v>2249.42</v>
      </c>
      <c r="F39" s="44"/>
      <c r="H39" s="44"/>
    </row>
    <row r="40" spans="1:8" hidden="1">
      <c r="A40" t="s">
        <v>291</v>
      </c>
      <c r="B40" s="43">
        <f>1406.94+1582.15</f>
        <v>2989.09</v>
      </c>
      <c r="D40" t="s">
        <v>292</v>
      </c>
      <c r="E40" s="43">
        <f>416.76+422.18+1405.22</f>
        <v>2244.16</v>
      </c>
      <c r="F40" s="44"/>
      <c r="H40" s="44"/>
    </row>
    <row r="41" spans="1:8" hidden="1">
      <c r="A41" t="s">
        <v>293</v>
      </c>
      <c r="B41" s="43">
        <f>1587.43+1406.94</f>
        <v>2994.37</v>
      </c>
      <c r="D41" t="s">
        <v>294</v>
      </c>
      <c r="E41" s="43">
        <f>416.76+422.18+1399.95</f>
        <v>2238.8900000000003</v>
      </c>
      <c r="F41" s="44"/>
      <c r="H41" s="44"/>
    </row>
    <row r="42" spans="1:8" hidden="1">
      <c r="A42" t="s">
        <v>295</v>
      </c>
      <c r="B42" s="43">
        <f>2374.34+2048.02+1603.35+1406.92</f>
        <v>7432.630000000001</v>
      </c>
      <c r="D42" t="s">
        <v>296</v>
      </c>
      <c r="E42" s="43">
        <f>1346.23+403.17+1384.02+422.18</f>
        <v>3555.6</v>
      </c>
      <c r="F42" s="44"/>
      <c r="H42" s="44"/>
    </row>
    <row r="43" spans="1:8" hidden="1">
      <c r="A43" t="s">
        <v>297</v>
      </c>
      <c r="B43" s="43">
        <f>2383.25+2054.84+1608.7+1406.92</f>
        <v>7453.71</v>
      </c>
      <c r="D43" t="s">
        <v>298</v>
      </c>
      <c r="E43" s="43">
        <f>1337.33+396.34+1378.67+422.18</f>
        <v>3534.52</v>
      </c>
      <c r="F43" s="44"/>
      <c r="H43" s="44"/>
    </row>
    <row r="44" spans="1:8" hidden="1">
      <c r="A44" t="s">
        <v>299</v>
      </c>
      <c r="B44" s="43">
        <f>17857.32+1614.06+2392.18+2061.69+1406.94</f>
        <v>25332.19</v>
      </c>
      <c r="D44" t="s">
        <v>300</v>
      </c>
      <c r="E44" s="43">
        <f>3868.84+1373.31+1328.39+389.49+422.18</f>
        <v>7382.21</v>
      </c>
      <c r="F44" s="44"/>
      <c r="H44" s="44"/>
    </row>
    <row r="45" spans="1:8" hidden="1">
      <c r="A45" t="s">
        <v>301</v>
      </c>
      <c r="B45" s="43">
        <f>1619.44+2401.15+2068.56+1406.94</f>
        <v>7496.09</v>
      </c>
      <c r="D45" t="s">
        <v>302</v>
      </c>
      <c r="E45" s="43">
        <f>1367.93+1319.42+382.62+422.18</f>
        <v>3492.15</v>
      </c>
      <c r="F45" s="44"/>
      <c r="H45" s="44"/>
    </row>
    <row r="46" spans="1:8" hidden="1">
      <c r="A46" t="s">
        <v>303</v>
      </c>
      <c r="B46" s="43">
        <f>1624.84+2410.16+2075.46+1406.94</f>
        <v>7517.4</v>
      </c>
      <c r="D46" t="s">
        <v>304</v>
      </c>
      <c r="E46" s="43">
        <f>1362.53+1310.42+375.73+422.18</f>
        <v>3470.8599999999997</v>
      </c>
      <c r="F46" s="44"/>
      <c r="H46" s="44"/>
    </row>
    <row r="47" spans="1:8" hidden="1">
      <c r="A47" t="s">
        <v>305</v>
      </c>
      <c r="B47" s="43">
        <f>1630.26+2419.2+2082.38+1406.94</f>
        <v>7538.7800000000007</v>
      </c>
      <c r="D47" t="s">
        <v>306</v>
      </c>
      <c r="E47" s="43">
        <f>1357.12+1301.38+368.81+422.18</f>
        <v>3449.49</v>
      </c>
      <c r="F47" s="44"/>
      <c r="H47" s="44"/>
    </row>
    <row r="48" spans="1:8" hidden="1">
      <c r="A48" t="s">
        <v>307</v>
      </c>
      <c r="B48" s="43">
        <f>7645.33-2428.27</f>
        <v>5217.0599999999995</v>
      </c>
      <c r="D48" t="s">
        <v>308</v>
      </c>
      <c r="E48" s="43">
        <f>3342.92-1292.31</f>
        <v>2050.61</v>
      </c>
      <c r="F48" s="44"/>
      <c r="H48" s="44"/>
    </row>
    <row r="49" spans="1:10" hidden="1">
      <c r="A49" t="s">
        <v>309</v>
      </c>
      <c r="B49" s="43">
        <f>7581.74-2437.38</f>
        <v>5144.3599999999997</v>
      </c>
      <c r="D49" t="s">
        <v>310</v>
      </c>
      <c r="E49" s="43">
        <f>3406.51-1283.2</f>
        <v>2123.3100000000004</v>
      </c>
      <c r="F49" s="44"/>
      <c r="H49" s="44"/>
    </row>
    <row r="50" spans="1:10" hidden="1">
      <c r="A50" t="s">
        <v>311</v>
      </c>
      <c r="B50" s="43">
        <f>1646.61+1406.94+2103.27</f>
        <v>5156.82</v>
      </c>
      <c r="D50" t="s">
        <v>312</v>
      </c>
      <c r="E50" s="43">
        <f>1340.76+422.18+347.92</f>
        <v>2110.86</v>
      </c>
      <c r="F50" s="44"/>
      <c r="H50" s="44"/>
    </row>
    <row r="51" spans="1:10" hidden="1">
      <c r="A51" t="s">
        <v>313</v>
      </c>
      <c r="B51" s="43">
        <f>1652.1+1406.94+2110.28</f>
        <v>5169.32</v>
      </c>
      <c r="D51" t="s">
        <v>314</v>
      </c>
      <c r="E51" s="43">
        <f>1335.27+422.18+340.9</f>
        <v>2098.35</v>
      </c>
      <c r="F51" s="44"/>
      <c r="H51" s="44"/>
    </row>
    <row r="52" spans="1:10" hidden="1">
      <c r="A52" t="s">
        <v>315</v>
      </c>
      <c r="B52" s="43">
        <f>1657.61+1406.94+2428.27+2117.32</f>
        <v>7610.1399999999994</v>
      </c>
      <c r="D52" t="s">
        <v>316</v>
      </c>
      <c r="E52" s="43">
        <f>1329.77+422.18+1292.31+0+333.87</f>
        <v>3378.13</v>
      </c>
      <c r="F52" s="44"/>
      <c r="H52" s="44"/>
    </row>
    <row r="53" spans="1:10" hidden="1">
      <c r="A53" t="s">
        <v>317</v>
      </c>
      <c r="B53" s="45">
        <f>1406.94+2124.37+1663.13</f>
        <v>5194.4400000000005</v>
      </c>
      <c r="D53" t="s">
        <v>318</v>
      </c>
      <c r="E53" s="45">
        <f>422.18+326.81+1324.24</f>
        <v>2073.23</v>
      </c>
      <c r="F53" s="44"/>
      <c r="H53" s="44"/>
    </row>
    <row r="54" spans="1:10" hidden="1">
      <c r="B54" s="46">
        <f>SUM(B42:B52)</f>
        <v>91068.500000000015</v>
      </c>
      <c r="C54" s="46"/>
      <c r="D54" s="46"/>
      <c r="E54" s="46">
        <f>SUM(E42:E52)</f>
        <v>36646.090000000004</v>
      </c>
      <c r="F54" s="44"/>
    </row>
    <row r="55" spans="1:10" hidden="1">
      <c r="B55" s="33"/>
      <c r="I55" s="54"/>
      <c r="J55" s="54"/>
    </row>
    <row r="56" spans="1:10" hidden="1">
      <c r="B56" s="33"/>
      <c r="E56" s="37"/>
      <c r="F56" s="44"/>
    </row>
    <row r="57" spans="1:10" hidden="1">
      <c r="A57" t="s">
        <v>319</v>
      </c>
      <c r="B57" s="33"/>
      <c r="F57" s="47"/>
      <c r="G57" s="48"/>
    </row>
    <row r="58" spans="1:10" hidden="1">
      <c r="A58" t="s">
        <v>320</v>
      </c>
      <c r="B58" s="33">
        <f>1574811.13*0.25</f>
        <v>393702.78249999997</v>
      </c>
    </row>
    <row r="59" spans="1:10" hidden="1">
      <c r="A59" t="s">
        <v>321</v>
      </c>
      <c r="B59" s="45">
        <v>877832.77</v>
      </c>
    </row>
    <row r="60" spans="1:10" hidden="1">
      <c r="A60" s="47" t="s">
        <v>322</v>
      </c>
      <c r="B60" s="46">
        <f>B59-B58</f>
        <v>484129.98750000005</v>
      </c>
      <c r="D60" s="44"/>
    </row>
    <row r="61" spans="1:10" hidden="1">
      <c r="B61" s="33"/>
    </row>
    <row r="62" spans="1:10" hidden="1">
      <c r="A62" t="s">
        <v>323</v>
      </c>
      <c r="B62" s="33">
        <v>428027.69</v>
      </c>
    </row>
    <row r="63" spans="1:10" hidden="1">
      <c r="B63" s="33"/>
    </row>
    <row r="64" spans="1:10" hidden="1">
      <c r="A64" s="47" t="s">
        <v>322</v>
      </c>
      <c r="B64" s="46">
        <f>B60-B62</f>
        <v>56102.297500000044</v>
      </c>
    </row>
    <row r="65" spans="1:9" hidden="1">
      <c r="B65" s="33"/>
    </row>
    <row r="66" spans="1:9" hidden="1"/>
    <row r="67" spans="1:9">
      <c r="A67" t="s">
        <v>324</v>
      </c>
      <c r="B67" s="55">
        <f>D25</f>
        <v>2196008.44</v>
      </c>
      <c r="F67" s="34"/>
    </row>
    <row r="68" spans="1:9">
      <c r="A68" s="36" t="s">
        <v>237</v>
      </c>
      <c r="B68" s="56">
        <v>492982</v>
      </c>
      <c r="C68" s="34"/>
      <c r="D68" s="173"/>
      <c r="E68" s="34"/>
      <c r="F68" s="34"/>
    </row>
    <row r="69" spans="1:9">
      <c r="A69" s="36" t="s">
        <v>240</v>
      </c>
      <c r="B69" s="56">
        <v>240000</v>
      </c>
      <c r="C69" s="34"/>
      <c r="E69" s="34"/>
      <c r="F69" s="171"/>
      <c r="G69" s="58"/>
      <c r="H69" s="59"/>
      <c r="I69" s="59"/>
    </row>
    <row r="70" spans="1:9">
      <c r="A70" s="36" t="s">
        <v>243</v>
      </c>
      <c r="B70" s="56">
        <v>172800</v>
      </c>
      <c r="C70" s="34"/>
      <c r="F70" s="172"/>
      <c r="G70" s="58"/>
      <c r="H70" s="59"/>
      <c r="I70" s="59"/>
    </row>
    <row r="71" spans="1:9">
      <c r="A71" s="36" t="s">
        <v>245</v>
      </c>
      <c r="B71" s="56">
        <f>C16</f>
        <v>358995.99</v>
      </c>
      <c r="C71" s="34"/>
      <c r="F71" s="57"/>
      <c r="G71" s="58"/>
      <c r="H71" s="59"/>
      <c r="I71" s="59"/>
    </row>
    <row r="72" spans="1:9">
      <c r="A72" s="36" t="s">
        <v>249</v>
      </c>
      <c r="B72" s="56">
        <f>30345+33188+33188</f>
        <v>96721</v>
      </c>
      <c r="F72" s="57"/>
      <c r="G72" s="58"/>
      <c r="H72" s="59"/>
      <c r="I72" s="59"/>
    </row>
    <row r="73" spans="1:9">
      <c r="A73" s="36" t="s">
        <v>252</v>
      </c>
      <c r="B73" s="56">
        <v>102813</v>
      </c>
      <c r="F73" s="57"/>
      <c r="G73" s="58"/>
      <c r="H73" s="60"/>
      <c r="I73" s="64"/>
    </row>
    <row r="74" spans="1:9">
      <c r="A74" s="36" t="s">
        <v>255</v>
      </c>
      <c r="B74" s="56">
        <v>100000</v>
      </c>
      <c r="D74" s="61"/>
      <c r="F74" s="57"/>
      <c r="G74" s="58"/>
      <c r="H74" s="59"/>
      <c r="I74" s="59"/>
    </row>
    <row r="75" spans="1:9">
      <c r="A75" s="36" t="s">
        <v>258</v>
      </c>
      <c r="B75" s="56">
        <v>175000</v>
      </c>
      <c r="F75" s="57"/>
      <c r="G75" s="58"/>
      <c r="H75" s="59"/>
      <c r="I75" s="59"/>
    </row>
    <row r="76" spans="1:9">
      <c r="A76" s="36" t="s">
        <v>261</v>
      </c>
      <c r="B76" s="56">
        <v>200000</v>
      </c>
      <c r="F76" s="57"/>
      <c r="G76" s="58"/>
      <c r="H76" s="59"/>
      <c r="I76" s="59"/>
    </row>
    <row r="77" spans="1:9">
      <c r="A77" s="36" t="s">
        <v>263</v>
      </c>
      <c r="B77" s="56">
        <v>235000</v>
      </c>
      <c r="F77" s="57"/>
      <c r="G77" s="58"/>
      <c r="H77" s="59"/>
      <c r="I77" s="59"/>
    </row>
    <row r="78" spans="1:9">
      <c r="A78" s="62" t="s">
        <v>265</v>
      </c>
      <c r="B78" s="56">
        <v>25000</v>
      </c>
      <c r="F78" s="57"/>
      <c r="G78" s="58"/>
      <c r="H78" s="59"/>
      <c r="I78" s="59"/>
    </row>
    <row r="79" spans="1:9">
      <c r="A79" s="62" t="s">
        <v>268</v>
      </c>
      <c r="B79" s="63">
        <v>150000</v>
      </c>
      <c r="F79" s="57"/>
      <c r="G79" s="58"/>
      <c r="H79" s="59"/>
      <c r="I79" s="59"/>
    </row>
    <row r="80" spans="1:9">
      <c r="A80" s="36" t="s">
        <v>325</v>
      </c>
      <c r="B80" s="56">
        <f>22709-11320.57</f>
        <v>11388.43</v>
      </c>
      <c r="F80" s="57"/>
      <c r="G80" s="58"/>
      <c r="H80" s="64"/>
      <c r="I80" s="64"/>
    </row>
    <row r="81" spans="1:9">
      <c r="A81" s="36" t="s">
        <v>326</v>
      </c>
      <c r="B81" s="56">
        <f>47971.5-3178.85</f>
        <v>44792.65</v>
      </c>
      <c r="E81" s="44"/>
      <c r="F81" s="57"/>
      <c r="G81" s="58"/>
      <c r="H81" s="59"/>
      <c r="I81" s="59"/>
    </row>
    <row r="82" spans="1:9">
      <c r="A82" s="36" t="s">
        <v>327</v>
      </c>
      <c r="B82" s="56">
        <f>49288.27-5732.2</f>
        <v>43556.07</v>
      </c>
      <c r="F82" s="57"/>
      <c r="G82" s="65"/>
      <c r="H82" s="59"/>
      <c r="I82" s="59"/>
    </row>
    <row r="83" spans="1:9">
      <c r="A83" s="36" t="s">
        <v>328</v>
      </c>
      <c r="B83" s="56">
        <f>39983.01-45845.93</f>
        <v>-5862.9199999999983</v>
      </c>
      <c r="F83" s="57"/>
      <c r="G83" s="65"/>
      <c r="H83" s="59"/>
      <c r="I83" s="59"/>
    </row>
    <row r="84" spans="1:9">
      <c r="A84" s="36" t="s">
        <v>329</v>
      </c>
      <c r="B84" s="56">
        <f>53213.08-15962.55</f>
        <v>37250.53</v>
      </c>
      <c r="F84" s="57"/>
      <c r="G84" s="65"/>
      <c r="H84" s="59"/>
      <c r="I84" s="59"/>
    </row>
    <row r="85" spans="1:9">
      <c r="A85" s="36" t="s">
        <v>330</v>
      </c>
      <c r="B85" s="56">
        <f>42554.81-3467.75</f>
        <v>39087.06</v>
      </c>
      <c r="F85" s="57"/>
      <c r="G85" s="65"/>
      <c r="H85" s="59"/>
      <c r="I85" s="59"/>
    </row>
    <row r="86" spans="1:9">
      <c r="A86" s="36" t="s">
        <v>331</v>
      </c>
      <c r="B86" s="56">
        <v>11165.76</v>
      </c>
      <c r="F86" s="57"/>
      <c r="G86" s="65"/>
      <c r="H86" s="59"/>
      <c r="I86" s="59"/>
    </row>
    <row r="87" spans="1:9">
      <c r="A87" s="36" t="s">
        <v>332</v>
      </c>
      <c r="B87" s="56">
        <v>17163.89</v>
      </c>
      <c r="F87" s="57"/>
      <c r="G87" s="65"/>
      <c r="H87" s="59"/>
      <c r="I87" s="59"/>
    </row>
    <row r="88" spans="1:9">
      <c r="A88" s="36" t="s">
        <v>333</v>
      </c>
      <c r="B88" s="56">
        <f>E54-230.51</f>
        <v>36415.58</v>
      </c>
      <c r="F88" s="57"/>
      <c r="G88" s="47"/>
      <c r="H88" s="60"/>
      <c r="I88" s="64"/>
    </row>
    <row r="89" spans="1:9">
      <c r="A89" s="36" t="s">
        <v>334</v>
      </c>
      <c r="B89" s="56">
        <f>25562.22-16698.88</f>
        <v>8863.34</v>
      </c>
    </row>
    <row r="90" spans="1:9">
      <c r="A90" s="36" t="s">
        <v>335</v>
      </c>
      <c r="B90" s="56">
        <f>1250.71+335.7+326.52+579.37-5248.39+575.4+324.23+333.35+1294.85+1244.92+2411.68+280.64+8565.64-16667.23+4999.87-22670.47+1209.78+551.27+323.87+321.48+319.08+3690.91-5041.96-10958.92+7416.23+3662.37-7894.76</f>
        <v>-28463.860000000008</v>
      </c>
      <c r="G90" s="58"/>
    </row>
    <row r="91" spans="1:9">
      <c r="A91" s="36" t="s">
        <v>336</v>
      </c>
      <c r="B91" s="56">
        <f>3631.74+5240.1+3570.17+3397.25+3871.19+3837.48+3856.61+3821.77+3786.8-65190.69</f>
        <v>-30177.58</v>
      </c>
    </row>
    <row r="92" spans="1:9">
      <c r="A92" s="66" t="s">
        <v>337</v>
      </c>
      <c r="B92" s="67">
        <f>B67-B68-B69-B70-B71-B72+B85+B86+B87+B88-B75-B76-B77+B84+B83+B82+B81+B80-B73-B74+B89+B90-B78+B91-B79</f>
        <v>31875.400000000081</v>
      </c>
    </row>
    <row r="93" spans="1:9">
      <c r="A93" s="36"/>
      <c r="B93" s="56"/>
    </row>
    <row r="94" spans="1:9">
      <c r="A94" s="36"/>
      <c r="B94" s="56"/>
    </row>
    <row r="95" spans="1:9">
      <c r="A95" s="36"/>
      <c r="B95" s="56"/>
    </row>
    <row r="96" spans="1:9">
      <c r="A96" s="36"/>
      <c r="B96" s="56"/>
    </row>
    <row r="97" spans="1:3">
      <c r="A97" s="36"/>
      <c r="B97" s="56"/>
    </row>
    <row r="98" spans="1:3">
      <c r="A98" s="36"/>
      <c r="B98" s="56"/>
    </row>
    <row r="99" spans="1:3">
      <c r="A99" s="36"/>
      <c r="B99" s="56"/>
    </row>
    <row r="100" spans="1:3">
      <c r="A100" s="36"/>
      <c r="B100" s="56"/>
    </row>
    <row r="101" spans="1:3">
      <c r="A101" s="36"/>
      <c r="B101" s="56"/>
    </row>
    <row r="102" spans="1:3">
      <c r="A102" s="36"/>
      <c r="B102" s="56"/>
    </row>
    <row r="103" spans="1:3">
      <c r="A103" s="36"/>
      <c r="B103" s="56"/>
    </row>
    <row r="104" spans="1:3">
      <c r="A104" s="36"/>
      <c r="B104" s="56"/>
    </row>
    <row r="105" spans="1:3">
      <c r="A105" s="36"/>
      <c r="B105" s="56"/>
    </row>
    <row r="106" spans="1:3">
      <c r="A106" s="36"/>
      <c r="B106" s="56"/>
    </row>
    <row r="107" spans="1:3">
      <c r="A107" s="36"/>
      <c r="B107" s="56"/>
    </row>
    <row r="108" spans="1:3">
      <c r="A108" s="36"/>
      <c r="B108" s="56"/>
    </row>
    <row r="112" spans="1:3" hidden="1">
      <c r="A112" t="s">
        <v>338</v>
      </c>
      <c r="B112" s="68">
        <v>403067.06</v>
      </c>
      <c r="C112" t="s">
        <v>339</v>
      </c>
    </row>
    <row r="113" spans="1:4" hidden="1">
      <c r="A113" t="s">
        <v>340</v>
      </c>
      <c r="B113" s="44">
        <f>B54+E54</f>
        <v>127714.59000000003</v>
      </c>
      <c r="C113" t="s">
        <v>341</v>
      </c>
    </row>
    <row r="114" spans="1:4" hidden="1">
      <c r="A114" t="s">
        <v>342</v>
      </c>
      <c r="B114" s="69">
        <f>-96721+5521.44</f>
        <v>-91199.56</v>
      </c>
      <c r="C114" t="s">
        <v>343</v>
      </c>
    </row>
    <row r="115" spans="1:4" hidden="1">
      <c r="A115" t="s">
        <v>344</v>
      </c>
      <c r="B115" s="68">
        <f>SUM(B112:B114)</f>
        <v>439582.09</v>
      </c>
    </row>
    <row r="116" spans="1:4" hidden="1"/>
    <row r="117" spans="1:4" hidden="1">
      <c r="A117" t="s">
        <v>345</v>
      </c>
      <c r="B117" s="68">
        <v>640294.62</v>
      </c>
      <c r="C117" t="s">
        <v>339</v>
      </c>
    </row>
    <row r="118" spans="1:4" hidden="1">
      <c r="A118" t="s">
        <v>346</v>
      </c>
      <c r="B118" s="44">
        <f>110602.67+30467.92</f>
        <v>141070.59</v>
      </c>
      <c r="C118" t="s">
        <v>347</v>
      </c>
    </row>
    <row r="119" spans="1:4" hidden="1">
      <c r="A119" t="s">
        <v>348</v>
      </c>
      <c r="B119" s="69">
        <f>-358995.99-19302.16</f>
        <v>-378298.14999999997</v>
      </c>
      <c r="C119" t="s">
        <v>343</v>
      </c>
    </row>
    <row r="120" spans="1:4" hidden="1">
      <c r="A120" t="s">
        <v>349</v>
      </c>
      <c r="B120" s="68">
        <f>SUM(B117:B119)</f>
        <v>403067.06</v>
      </c>
    </row>
    <row r="121" spans="1:4" hidden="1"/>
    <row r="122" spans="1:4" hidden="1">
      <c r="A122" t="s">
        <v>350</v>
      </c>
      <c r="B122" s="68">
        <v>360885.21</v>
      </c>
      <c r="C122" t="s">
        <v>351</v>
      </c>
    </row>
    <row r="123" spans="1:4" hidden="1">
      <c r="A123" t="s">
        <v>352</v>
      </c>
      <c r="B123" s="44">
        <v>282877.15999999997</v>
      </c>
      <c r="C123" t="s">
        <v>353</v>
      </c>
    </row>
    <row r="124" spans="1:4" hidden="1">
      <c r="A124" t="s">
        <v>354</v>
      </c>
      <c r="B124" s="69">
        <v>-3467.75</v>
      </c>
      <c r="C124" t="s">
        <v>355</v>
      </c>
    </row>
    <row r="125" spans="1:4" hidden="1">
      <c r="A125" t="s">
        <v>356</v>
      </c>
      <c r="B125" s="68">
        <v>640294.62</v>
      </c>
    </row>
    <row r="126" spans="1:4" hidden="1"/>
    <row r="127" spans="1:4" hidden="1">
      <c r="A127" t="s">
        <v>357</v>
      </c>
      <c r="B127" s="35">
        <v>241944</v>
      </c>
      <c r="C127" t="s">
        <v>358</v>
      </c>
    </row>
    <row r="128" spans="1:4" hidden="1">
      <c r="A128" t="s">
        <v>359</v>
      </c>
      <c r="B128" s="44">
        <v>222624.03</v>
      </c>
      <c r="C128" t="s">
        <v>360</v>
      </c>
      <c r="D128" s="48"/>
    </row>
    <row r="129" spans="1:3" hidden="1">
      <c r="A129" t="s">
        <v>361</v>
      </c>
      <c r="B129" s="70">
        <v>-103682.82</v>
      </c>
      <c r="C129" t="s">
        <v>362</v>
      </c>
    </row>
    <row r="130" spans="1:3" hidden="1">
      <c r="A130" t="s">
        <v>363</v>
      </c>
      <c r="B130" s="35">
        <v>360885.21</v>
      </c>
    </row>
    <row r="131" spans="1:3" hidden="1"/>
  </sheetData>
  <mergeCells count="1">
    <mergeCell ref="A1:G1"/>
  </mergeCells>
  <pageMargins left="0" right="0" top="0.75" bottom="0.75" header="0.3" footer="0.3"/>
  <pageSetup scale="62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7"/>
  <sheetViews>
    <sheetView workbookViewId="0">
      <selection activeCell="D17" sqref="D17"/>
    </sheetView>
  </sheetViews>
  <sheetFormatPr defaultColWidth="9" defaultRowHeight="14.4"/>
  <cols>
    <col min="1" max="1" width="10.5546875" bestFit="1" customWidth="1"/>
    <col min="2" max="2" width="13.44140625" bestFit="1" customWidth="1"/>
    <col min="3" max="3" width="14" bestFit="1" customWidth="1"/>
    <col min="4" max="4" width="8" bestFit="1" customWidth="1"/>
    <col min="5" max="5" width="7" bestFit="1" customWidth="1"/>
    <col min="6" max="6" width="7.33203125" bestFit="1" customWidth="1"/>
    <col min="7" max="7" width="13" bestFit="1" customWidth="1"/>
    <col min="8" max="8" width="7.6640625" bestFit="1" customWidth="1"/>
    <col min="9" max="9" width="14" bestFit="1" customWidth="1"/>
    <col min="10" max="10" width="13.5546875" bestFit="1" customWidth="1"/>
    <col min="11" max="11" width="22.44140625" bestFit="1" customWidth="1"/>
    <col min="12" max="12" width="8.5546875" bestFit="1" customWidth="1"/>
    <col min="13" max="13" width="17.44140625" bestFit="1" customWidth="1"/>
  </cols>
  <sheetData>
    <row r="1" spans="1:13">
      <c r="B1" t="s">
        <v>364</v>
      </c>
      <c r="C1" t="s">
        <v>263</v>
      </c>
      <c r="D1" t="s">
        <v>365</v>
      </c>
      <c r="E1" t="s">
        <v>366</v>
      </c>
      <c r="F1" t="s">
        <v>379</v>
      </c>
      <c r="G1" t="s">
        <v>367</v>
      </c>
      <c r="H1" t="s">
        <v>368</v>
      </c>
      <c r="I1" t="s">
        <v>369</v>
      </c>
      <c r="J1" t="s">
        <v>370</v>
      </c>
      <c r="K1" t="s">
        <v>371</v>
      </c>
    </row>
    <row r="2" spans="1:13">
      <c r="A2" t="s">
        <v>182</v>
      </c>
      <c r="B2" s="11">
        <v>638.97</v>
      </c>
      <c r="C2" s="11">
        <v>761.95</v>
      </c>
      <c r="D2" s="11"/>
      <c r="E2" s="11"/>
      <c r="F2" s="11"/>
      <c r="G2" s="11">
        <v>1179.96</v>
      </c>
      <c r="H2" s="11">
        <v>213.1</v>
      </c>
      <c r="I2" s="11">
        <v>306.97000000000003</v>
      </c>
      <c r="J2" s="11">
        <v>530.79</v>
      </c>
      <c r="K2" s="11"/>
      <c r="L2" s="13">
        <f>SUM(B2:K2)</f>
        <v>3631.74</v>
      </c>
    </row>
    <row r="3" spans="1:13">
      <c r="A3" t="s">
        <v>188</v>
      </c>
      <c r="B3" s="11">
        <v>631.98</v>
      </c>
      <c r="C3" s="11">
        <v>756.56</v>
      </c>
      <c r="D3" s="11"/>
      <c r="E3" s="11"/>
      <c r="F3" s="11"/>
      <c r="G3" s="11">
        <v>1173.93</v>
      </c>
      <c r="H3" s="11">
        <v>207.36</v>
      </c>
      <c r="I3" s="11">
        <v>304.52</v>
      </c>
      <c r="J3" s="11">
        <v>526.65</v>
      </c>
      <c r="K3" s="11">
        <v>1639.1</v>
      </c>
      <c r="L3" s="13">
        <f t="shared" ref="L3:L13" si="0">SUM(B3:K3)</f>
        <v>5240.1000000000004</v>
      </c>
    </row>
    <row r="4" spans="1:13">
      <c r="A4" t="s">
        <v>189</v>
      </c>
      <c r="B4" s="11">
        <v>624.98</v>
      </c>
      <c r="C4" s="11">
        <v>751.15</v>
      </c>
      <c r="D4" s="11"/>
      <c r="E4" s="11"/>
      <c r="F4" s="11"/>
      <c r="G4" s="11">
        <v>1167.8900000000001</v>
      </c>
      <c r="H4" s="11">
        <v>201.58</v>
      </c>
      <c r="I4" s="11">
        <v>302.07</v>
      </c>
      <c r="J4" s="11">
        <v>522.5</v>
      </c>
      <c r="K4" s="11"/>
      <c r="L4" s="13">
        <f t="shared" si="0"/>
        <v>3570.1700000000005</v>
      </c>
    </row>
    <row r="5" spans="1:13">
      <c r="A5" t="s">
        <v>190</v>
      </c>
      <c r="B5" s="11">
        <v>617.95000000000005</v>
      </c>
      <c r="C5" s="11">
        <v>745.72</v>
      </c>
      <c r="D5" s="11">
        <v>53.81</v>
      </c>
      <c r="E5" s="11"/>
      <c r="F5" s="11"/>
      <c r="G5" s="11">
        <v>1161.82</v>
      </c>
      <c r="H5" s="11"/>
      <c r="I5" s="11">
        <v>299.61</v>
      </c>
      <c r="J5" s="11">
        <v>518.34</v>
      </c>
      <c r="K5" s="11"/>
      <c r="L5" s="13">
        <f t="shared" si="0"/>
        <v>3397.2500000000005</v>
      </c>
    </row>
    <row r="6" spans="1:13">
      <c r="A6" t="s">
        <v>191</v>
      </c>
      <c r="B6" s="11">
        <v>610.9</v>
      </c>
      <c r="C6" s="11">
        <v>740.28</v>
      </c>
      <c r="D6" s="11">
        <v>52.97</v>
      </c>
      <c r="E6" s="11">
        <v>500</v>
      </c>
      <c r="F6" s="11"/>
      <c r="G6" s="11">
        <v>1155.74</v>
      </c>
      <c r="H6" s="11"/>
      <c r="I6" s="11">
        <v>297.14</v>
      </c>
      <c r="J6" s="11">
        <v>514.16</v>
      </c>
      <c r="K6" s="11"/>
      <c r="L6" s="13">
        <f t="shared" si="0"/>
        <v>3871.1899999999996</v>
      </c>
    </row>
    <row r="7" spans="1:13">
      <c r="A7" t="s">
        <v>192</v>
      </c>
      <c r="B7" s="11">
        <v>603.82000000000005</v>
      </c>
      <c r="C7" s="11">
        <v>734.81</v>
      </c>
      <c r="D7" s="11">
        <v>52.13</v>
      </c>
      <c r="E7" s="11">
        <v>492.46</v>
      </c>
      <c r="F7" s="11"/>
      <c r="G7" s="11">
        <v>1149.6300000000001</v>
      </c>
      <c r="H7" s="11"/>
      <c r="I7" s="11">
        <v>294.66000000000003</v>
      </c>
      <c r="J7" s="11">
        <v>509.97</v>
      </c>
      <c r="K7" s="11"/>
      <c r="L7" s="13">
        <f t="shared" si="0"/>
        <v>3837.4800000000005</v>
      </c>
    </row>
    <row r="8" spans="1:13">
      <c r="A8" t="s">
        <v>8</v>
      </c>
      <c r="B8" s="153">
        <v>596.72</v>
      </c>
      <c r="C8" s="153">
        <v>729.33</v>
      </c>
      <c r="D8" s="153">
        <v>51.28</v>
      </c>
      <c r="E8" s="11">
        <v>484.89</v>
      </c>
      <c r="F8" s="11">
        <v>52.95</v>
      </c>
      <c r="G8" s="11">
        <v>1143.51</v>
      </c>
      <c r="H8" s="11"/>
      <c r="I8" s="11">
        <v>292.17</v>
      </c>
      <c r="J8" s="11">
        <v>505.76</v>
      </c>
      <c r="K8" s="11"/>
      <c r="L8" s="13">
        <f t="shared" si="0"/>
        <v>3856.6100000000006</v>
      </c>
    </row>
    <row r="9" spans="1:13">
      <c r="A9" t="s">
        <v>9</v>
      </c>
      <c r="B9" s="11">
        <v>589.6</v>
      </c>
      <c r="C9" s="11">
        <v>723.83</v>
      </c>
      <c r="D9" s="11">
        <v>50.44</v>
      </c>
      <c r="E9" s="11">
        <v>477.3</v>
      </c>
      <c r="F9" s="11">
        <v>52.03</v>
      </c>
      <c r="G9" s="11">
        <v>1137.3599999999999</v>
      </c>
      <c r="H9" s="11"/>
      <c r="I9" s="11">
        <v>289.67</v>
      </c>
      <c r="J9" s="11">
        <v>501.54</v>
      </c>
      <c r="K9" s="11"/>
      <c r="L9" s="13">
        <f t="shared" si="0"/>
        <v>3821.77</v>
      </c>
    </row>
    <row r="10" spans="1:13">
      <c r="A10" t="s">
        <v>10</v>
      </c>
      <c r="B10" s="11">
        <v>582.45000000000005</v>
      </c>
      <c r="C10" s="11">
        <v>718.31</v>
      </c>
      <c r="D10" s="11">
        <v>49.59</v>
      </c>
      <c r="E10" s="11">
        <v>469.68</v>
      </c>
      <c r="F10" s="153">
        <v>51.095255574074081</v>
      </c>
      <c r="G10" s="11">
        <v>1131.19</v>
      </c>
      <c r="H10" s="11"/>
      <c r="I10" s="11">
        <v>287.17</v>
      </c>
      <c r="J10" s="11">
        <v>497.31</v>
      </c>
      <c r="K10" s="11"/>
      <c r="L10" s="13">
        <f t="shared" si="0"/>
        <v>3786.7952555740744</v>
      </c>
    </row>
    <row r="11" spans="1:13">
      <c r="A11" t="s">
        <v>11</v>
      </c>
      <c r="B11" s="12">
        <v>575.28</v>
      </c>
      <c r="C11" s="12">
        <v>712.78</v>
      </c>
      <c r="D11" s="12">
        <v>48.74</v>
      </c>
      <c r="E11">
        <v>462.04</v>
      </c>
      <c r="F11" s="13">
        <v>50.162406425987662</v>
      </c>
      <c r="G11" s="12">
        <v>1125.01</v>
      </c>
      <c r="I11" s="12">
        <v>284.66000000000003</v>
      </c>
      <c r="J11" s="12">
        <v>493.06</v>
      </c>
      <c r="L11" s="13">
        <f t="shared" si="0"/>
        <v>3751.7324064259874</v>
      </c>
    </row>
    <row r="12" spans="1:13">
      <c r="A12" t="s">
        <v>12</v>
      </c>
      <c r="B12" s="12">
        <v>568.08000000000004</v>
      </c>
      <c r="C12" s="12">
        <v>707.22</v>
      </c>
      <c r="D12" s="12">
        <v>47.89</v>
      </c>
      <c r="E12">
        <v>454.38</v>
      </c>
      <c r="F12" s="13">
        <v>49.226447780740955</v>
      </c>
      <c r="G12" s="12">
        <v>1118.8</v>
      </c>
      <c r="I12" s="12">
        <v>282.14</v>
      </c>
      <c r="J12" s="12">
        <v>488.8</v>
      </c>
      <c r="L12" s="13">
        <f t="shared" si="0"/>
        <v>3716.5364477807411</v>
      </c>
    </row>
    <row r="13" spans="1:13">
      <c r="A13" t="s">
        <v>372</v>
      </c>
      <c r="B13" s="12">
        <v>560.87</v>
      </c>
      <c r="C13" s="12">
        <v>701.65</v>
      </c>
      <c r="D13" s="12">
        <v>47.03</v>
      </c>
      <c r="E13">
        <v>446.68</v>
      </c>
      <c r="F13" s="13">
        <v>48.28736927334343</v>
      </c>
      <c r="G13" s="12">
        <v>1112.57</v>
      </c>
      <c r="I13" s="12">
        <v>279.61</v>
      </c>
      <c r="J13" s="12">
        <v>484.52</v>
      </c>
      <c r="L13" s="13">
        <f t="shared" si="0"/>
        <v>3681.2173692733436</v>
      </c>
    </row>
    <row r="14" spans="1:13">
      <c r="L14" s="14">
        <f>SUM(L2:L13)</f>
        <v>46162.591479054143</v>
      </c>
      <c r="M14" t="s">
        <v>373</v>
      </c>
    </row>
    <row r="17" spans="4:4">
      <c r="D17" s="13"/>
    </row>
  </sheetData>
  <pageMargins left="0.7" right="0.7" top="0.75" bottom="0.75" header="0.3" footer="0.3"/>
  <pageSetup orientation="portrait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Cares Act - 2021</vt:lpstr>
      <vt:lpstr>Cares Act - 2022</vt:lpstr>
      <vt:lpstr>Avdesh Calculation</vt:lpstr>
      <vt:lpstr>Regular RLF 051122</vt:lpstr>
      <vt:lpstr>Interest 22</vt:lpstr>
      <vt:lpstr>InterestRate</vt:lpstr>
      <vt:lpstr>PaymentsPerYear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Nayak, Arathi</dc:creator>
  <cp:lastModifiedBy>Nayak, Arathi</cp:lastModifiedBy>
  <dcterms:created xsi:type="dcterms:W3CDTF">2021-08-30T15:35:00Z</dcterms:created>
  <dcterms:modified xsi:type="dcterms:W3CDTF">2022-10-06T21:29:32Z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07297d3a7a1943e295da45397859cbb1</vt:lpwstr>
  </property>
  <property fmtid="{D5CDD505-2E9C-101B-9397-08002B2CF9AE}" pid="3" name="ICV">
    <vt:lpwstr>322FE43ECD154AD28E17A83A2911E8EA</vt:lpwstr>
  </property>
  <property fmtid="{D5CDD505-2E9C-101B-9397-08002B2CF9AE}" pid="4" name="KSOProductBuildVer">
    <vt:lpwstr>1033-11.2.0.11156</vt:lpwstr>
  </property>
</Properties>
</file>