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https://hgac-my.sharepoint.com/personal/lingala_h-gac_com/Documents/2021 Call/Jan 2023/Project Scoring/Five Investment Categories/Submitted Questionnaires/Scores/Benefits Calculators/"/>
    </mc:Choice>
  </mc:AlternateContent>
  <xr:revisionPtr revIDLastSave="262" documentId="8_{56774D11-A44E-49E3-9E0A-ABD14E6A6BB8}" xr6:coauthVersionLast="47" xr6:coauthVersionMax="47" xr10:uidLastSave="{726B8F3C-A381-48BD-8A74-B1129C8C5C1E}"/>
  <bookViews>
    <workbookView xWindow="-108" yWindow="-108" windowWidth="23256" windowHeight="12576" tabRatio="763" xr2:uid="{00000000-000D-0000-FFFF-FFFF00000000}"/>
  </bookViews>
  <sheets>
    <sheet name="Instructions" sheetId="8" r:id="rId1"/>
    <sheet name="ITS Delay Worksheet" sheetId="7" state="hidden" r:id="rId2"/>
    <sheet name="Emissions Reduction Worksheet" sheetId="5" state="hidden" r:id="rId3"/>
    <sheet name="Inputs &amp; Outputs" sheetId="11" r:id="rId4"/>
    <sheet name="Calculations" sheetId="12" r:id="rId5"/>
    <sheet name="Assumed Values" sheetId="2" r:id="rId6"/>
    <sheet name="Value of Travel Time" sheetId="1" r:id="rId7"/>
    <sheet name="Delay Reduction Factors" sheetId="13" r:id="rId8"/>
    <sheet name="Growth Rates" sheetId="14" r:id="rId9"/>
  </sheets>
  <definedNames>
    <definedName name="_20_2030_V_C_Growth">Calculations!$E$11</definedName>
    <definedName name="_20_2045_Demand_Growth">Calculations!$E$7</definedName>
    <definedName name="_20_2045_V_C_Growth">Calculations!$E$13</definedName>
    <definedName name="_20_Capacity">'Inputs &amp; Outputs'!#REF!</definedName>
    <definedName name="_20_PeakVolume">'Inputs &amp; Outputs'!#REF!</definedName>
    <definedName name="_20_V_C_Ratio">Calculations!$E$8</definedName>
    <definedName name="_2045_Capacity">'Inputs &amp; Outputs'!#REF!</definedName>
    <definedName name="_2045_PeakVolume">'Inputs &amp; Outputs'!#REF!</definedName>
    <definedName name="_2045_V_C_Ratio">Calculations!$E$10</definedName>
    <definedName name="_30_2045_Demand_Growth">Calculations!$E$6</definedName>
    <definedName name="_30_2045_V_C_Growth">Calculations!$E$12</definedName>
    <definedName name="_30_Capacity">'Inputs &amp; Outputs'!#REF!</definedName>
    <definedName name="_30_PeakVolume">'Inputs &amp; Outputs'!#REF!</definedName>
    <definedName name="_30_V_C_Ratio">Calculations!$E$9</definedName>
    <definedName name="_Facility_Type">Calculations!$E$5</definedName>
    <definedName name="Annual_Days_of_Travel">Calculations!$B$8</definedName>
    <definedName name="Base_Year">Calculations!$B$4</definedName>
    <definedName name="County">'Inputs &amp; Outputs'!$C$6</definedName>
    <definedName name="Discount_Rate">Calculations!#REF!</definedName>
    <definedName name="FacilityType">'Inputs &amp; Outputs'!$C$7</definedName>
    <definedName name="_xlnm.Print_Area" localSheetId="5">'Assumed Values'!$B$2:$C$18</definedName>
    <definedName name="_xlnm.Print_Area" localSheetId="4">Calculations!$A$3:$S$41</definedName>
    <definedName name="_xlnm.Print_Area" localSheetId="2">'Emissions Reduction Worksheet'!$A$3:$K$33</definedName>
    <definedName name="_xlnm.Print_Area" localSheetId="3">'Inputs &amp; Outputs'!$B$2:$G$42</definedName>
    <definedName name="_xlnm.Print_Area" localSheetId="0">Instructions!$A$1:$G$12</definedName>
    <definedName name="_xlnm.Print_Area" localSheetId="1">'ITS Delay Worksheet'!$A$3:$J$33</definedName>
    <definedName name="ProjectTitle">'Inputs &amp; Outputs'!$C$5</definedName>
    <definedName name="Real_wage_growth_rate">Calculations!$B$7</definedName>
    <definedName name="Value_of_Delay_Savings__2020_____000s">Calculations!$S$4:$S$36</definedName>
    <definedName name="Value_of_Travel_Time__VoTT___2020">Calculations!$B$6</definedName>
    <definedName name="Vehicle_Occupancy">Calculations!$B$5</definedName>
    <definedName name="Year_Open_to_Traffic?">'Inputs &amp; Outputs'!$C$18</definedName>
    <definedName name="Years_to_include_in_BCA_Analysis">Calculations!$B$9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10" i="12" l="1"/>
  <c r="T11" i="12"/>
  <c r="T12" i="12"/>
  <c r="T13" i="12"/>
  <c r="T14" i="12"/>
  <c r="T15" i="12"/>
  <c r="T16" i="12"/>
  <c r="T17" i="12"/>
  <c r="T18" i="12"/>
  <c r="T19" i="12"/>
  <c r="T20" i="12"/>
  <c r="T21" i="12"/>
  <c r="T22" i="12"/>
  <c r="T23" i="12"/>
  <c r="T24" i="12"/>
  <c r="T25" i="12"/>
  <c r="T26" i="12"/>
  <c r="T27" i="12"/>
  <c r="T28" i="12"/>
  <c r="T29" i="12"/>
  <c r="T30" i="12"/>
  <c r="T31" i="12"/>
  <c r="T32" i="12"/>
  <c r="T33" i="12"/>
  <c r="T34" i="12"/>
  <c r="T35" i="12"/>
  <c r="T36" i="12"/>
  <c r="T37" i="12"/>
  <c r="T38" i="12"/>
  <c r="T39" i="12"/>
  <c r="T40" i="12"/>
  <c r="T41" i="12"/>
  <c r="T9" i="12"/>
  <c r="T5" i="12"/>
  <c r="T6" i="12"/>
  <c r="T7" i="12"/>
  <c r="T8" i="12"/>
  <c r="T4" i="12"/>
  <c r="N17" i="12"/>
  <c r="C21" i="1"/>
  <c r="D12" i="1"/>
  <c r="C26" i="11"/>
  <c r="C23" i="11"/>
  <c r="C20" i="11"/>
  <c r="C15" i="14"/>
  <c r="C14" i="14"/>
  <c r="C16" i="14" l="1"/>
  <c r="E5" i="12" l="1"/>
  <c r="E6" i="12"/>
  <c r="G18" i="11"/>
  <c r="G19" i="11"/>
  <c r="I37" i="12" l="1"/>
  <c r="I39" i="12"/>
  <c r="I41" i="12"/>
  <c r="I38" i="12"/>
  <c r="I40" i="12"/>
  <c r="G20" i="11"/>
  <c r="H19" i="11"/>
  <c r="H18" i="11" l="1"/>
  <c r="L4" i="12" l="1"/>
  <c r="G21" i="11" l="1"/>
  <c r="G23" i="11" s="1"/>
  <c r="H20" i="11" l="1"/>
  <c r="I6" i="12"/>
  <c r="G25" i="11" l="1"/>
  <c r="G24" i="11"/>
  <c r="H24" i="11" s="1"/>
  <c r="H23" i="11"/>
  <c r="G22" i="11"/>
  <c r="B7" i="12"/>
  <c r="G26" i="11" l="1"/>
  <c r="H25" i="11"/>
  <c r="H22" i="11"/>
  <c r="H21" i="11"/>
  <c r="I5" i="12"/>
  <c r="L5" i="12" s="1"/>
  <c r="I9" i="12"/>
  <c r="I13" i="12"/>
  <c r="I10" i="12"/>
  <c r="I11" i="12"/>
  <c r="I12" i="12"/>
  <c r="I14" i="12"/>
  <c r="I15" i="12"/>
  <c r="O4" i="12"/>
  <c r="H26" i="11" l="1"/>
  <c r="B9" i="12"/>
  <c r="E10" i="1" l="1"/>
  <c r="E11" i="1" l="1"/>
  <c r="E6" i="1"/>
  <c r="E12" i="1"/>
  <c r="E7" i="1"/>
  <c r="E9" i="1"/>
  <c r="E4" i="1"/>
  <c r="H5" i="1" s="1"/>
  <c r="E8" i="1"/>
  <c r="H6" i="1" s="1"/>
  <c r="E5" i="1"/>
  <c r="H4" i="1" l="1"/>
  <c r="C9" i="2" l="1"/>
  <c r="H7" i="1"/>
  <c r="J4" i="12" l="1"/>
  <c r="K4" i="12" s="1"/>
  <c r="Q4" i="12"/>
  <c r="I33" i="12" l="1"/>
  <c r="I35" i="12"/>
  <c r="I32" i="12"/>
  <c r="I34" i="12"/>
  <c r="I36" i="12"/>
  <c r="I31" i="12"/>
  <c r="I30" i="12"/>
  <c r="I7" i="12"/>
  <c r="I24" i="12"/>
  <c r="I8" i="12"/>
  <c r="I17" i="12"/>
  <c r="I28" i="12"/>
  <c r="I20" i="12"/>
  <c r="I29" i="12"/>
  <c r="I21" i="12"/>
  <c r="I16" i="12"/>
  <c r="I27" i="12"/>
  <c r="I25" i="12"/>
  <c r="I26" i="12"/>
  <c r="I18" i="12"/>
  <c r="I19" i="12"/>
  <c r="I22" i="12"/>
  <c r="L6" i="12"/>
  <c r="I23" i="12"/>
  <c r="H5" i="12"/>
  <c r="L7" i="12" l="1"/>
  <c r="L8" i="12" s="1"/>
  <c r="Q5" i="12"/>
  <c r="O5" i="12"/>
  <c r="J5" i="12"/>
  <c r="H6" i="12"/>
  <c r="L9" i="12" l="1"/>
  <c r="L10" i="12" s="1"/>
  <c r="L11" i="12" s="1"/>
  <c r="L12" i="12" s="1"/>
  <c r="L13" i="12" s="1"/>
  <c r="L14" i="12" s="1"/>
  <c r="L15" i="12" s="1"/>
  <c r="L16" i="12" s="1"/>
  <c r="L17" i="12" s="1"/>
  <c r="L18" i="12" s="1"/>
  <c r="L19" i="12" s="1"/>
  <c r="L20" i="12" s="1"/>
  <c r="L21" i="12" s="1"/>
  <c r="L22" i="12" s="1"/>
  <c r="L23" i="12" s="1"/>
  <c r="L24" i="12" s="1"/>
  <c r="L25" i="12" s="1"/>
  <c r="L26" i="12" s="1"/>
  <c r="L27" i="12" s="1"/>
  <c r="L28" i="12" s="1"/>
  <c r="L29" i="12" s="1"/>
  <c r="L30" i="12" s="1"/>
  <c r="L31" i="12" s="1"/>
  <c r="L32" i="12" s="1"/>
  <c r="L33" i="12" s="1"/>
  <c r="L34" i="12" s="1"/>
  <c r="L35" i="12" s="1"/>
  <c r="L36" i="12" s="1"/>
  <c r="L37" i="12" s="1"/>
  <c r="L38" i="12" s="1"/>
  <c r="L39" i="12" s="1"/>
  <c r="L40" i="12" s="1"/>
  <c r="L41" i="12" s="1"/>
  <c r="J6" i="12"/>
  <c r="K6" i="12" s="1"/>
  <c r="K5" i="12"/>
  <c r="Q6" i="12"/>
  <c r="O6" i="12"/>
  <c r="H7" i="12"/>
  <c r="B18" i="5"/>
  <c r="E17" i="5" s="1"/>
  <c r="B19" i="5"/>
  <c r="E18" i="5" s="1"/>
  <c r="G4" i="7"/>
  <c r="H4" i="7" s="1"/>
  <c r="G4" i="5"/>
  <c r="G5" i="5" s="1"/>
  <c r="G6" i="5" s="1"/>
  <c r="G7" i="5" s="1"/>
  <c r="G8" i="5" s="1"/>
  <c r="G9" i="5" s="1"/>
  <c r="G10" i="5" s="1"/>
  <c r="G11" i="5" s="1"/>
  <c r="G12" i="5" s="1"/>
  <c r="G13" i="5" s="1"/>
  <c r="G14" i="5" s="1"/>
  <c r="B18" i="7"/>
  <c r="B17" i="7"/>
  <c r="B16" i="7"/>
  <c r="E17" i="7"/>
  <c r="G5" i="7" l="1"/>
  <c r="H5" i="7" s="1"/>
  <c r="J7" i="12"/>
  <c r="K7" i="12" s="1"/>
  <c r="I4" i="7"/>
  <c r="Q7" i="12"/>
  <c r="O7" i="12"/>
  <c r="B21" i="5"/>
  <c r="J14" i="5"/>
  <c r="H14" i="5"/>
  <c r="G15" i="5"/>
  <c r="H10" i="5"/>
  <c r="B6" i="12"/>
  <c r="H8" i="12"/>
  <c r="O8" i="12" s="1"/>
  <c r="H6" i="5"/>
  <c r="H11" i="5"/>
  <c r="B20" i="5"/>
  <c r="J5" i="5"/>
  <c r="J13" i="5"/>
  <c r="J11" i="5"/>
  <c r="J10" i="5"/>
  <c r="J9" i="5"/>
  <c r="J4" i="5"/>
  <c r="J12" i="5"/>
  <c r="J8" i="5"/>
  <c r="J7" i="5"/>
  <c r="J6" i="5"/>
  <c r="H12" i="5"/>
  <c r="H4" i="5"/>
  <c r="H13" i="5"/>
  <c r="H5" i="5"/>
  <c r="H7" i="5"/>
  <c r="H8" i="5"/>
  <c r="H9" i="5"/>
  <c r="I5" i="7" l="1"/>
  <c r="G6" i="7"/>
  <c r="G7" i="7" s="1"/>
  <c r="J8" i="12"/>
  <c r="K8" i="12" s="1"/>
  <c r="Q8" i="12"/>
  <c r="K5" i="5"/>
  <c r="K10" i="5"/>
  <c r="K4" i="5"/>
  <c r="K11" i="5"/>
  <c r="K7" i="5"/>
  <c r="K8" i="5"/>
  <c r="K12" i="5"/>
  <c r="K9" i="5"/>
  <c r="K6" i="5"/>
  <c r="K13" i="5"/>
  <c r="K14" i="5"/>
  <c r="H15" i="5"/>
  <c r="G16" i="5"/>
  <c r="J15" i="5"/>
  <c r="K15" i="5" s="1"/>
  <c r="R8" i="12"/>
  <c r="R7" i="12"/>
  <c r="R6" i="12"/>
  <c r="R4" i="12"/>
  <c r="R5" i="12"/>
  <c r="I13" i="5"/>
  <c r="H9" i="12"/>
  <c r="O9" i="12" s="1"/>
  <c r="I7" i="5"/>
  <c r="I8" i="5"/>
  <c r="I10" i="5"/>
  <c r="I9" i="5"/>
  <c r="I14" i="5"/>
  <c r="I12" i="5"/>
  <c r="I5" i="5"/>
  <c r="I6" i="5"/>
  <c r="I11" i="5"/>
  <c r="B19" i="7"/>
  <c r="I4" i="5"/>
  <c r="H6" i="7" l="1"/>
  <c r="I6" i="7" s="1"/>
  <c r="J6" i="7" s="1"/>
  <c r="J9" i="12"/>
  <c r="K9" i="12" s="1"/>
  <c r="Q9" i="12"/>
  <c r="H16" i="5"/>
  <c r="I16" i="5" s="1"/>
  <c r="J16" i="5"/>
  <c r="K16" i="5" s="1"/>
  <c r="G17" i="5"/>
  <c r="I15" i="5"/>
  <c r="G8" i="7"/>
  <c r="H7" i="7"/>
  <c r="I7" i="7"/>
  <c r="J7" i="7" s="1"/>
  <c r="R9" i="12"/>
  <c r="H10" i="12"/>
  <c r="J5" i="7"/>
  <c r="J4" i="7"/>
  <c r="J10" i="12" l="1"/>
  <c r="K10" i="12" s="1"/>
  <c r="O10" i="12"/>
  <c r="H8" i="7"/>
  <c r="I8" i="7" s="1"/>
  <c r="J8" i="7" s="1"/>
  <c r="G9" i="7"/>
  <c r="G18" i="5"/>
  <c r="H17" i="5"/>
  <c r="J17" i="5"/>
  <c r="K17" i="5" s="1"/>
  <c r="Q10" i="12"/>
  <c r="R10" i="12"/>
  <c r="H11" i="12"/>
  <c r="J11" i="12" l="1"/>
  <c r="K11" i="12" s="1"/>
  <c r="O11" i="12"/>
  <c r="I17" i="5"/>
  <c r="G10" i="7"/>
  <c r="H9" i="7"/>
  <c r="I9" i="7"/>
  <c r="J9" i="7" s="1"/>
  <c r="G19" i="5"/>
  <c r="H18" i="5"/>
  <c r="I18" i="5" s="1"/>
  <c r="J18" i="5"/>
  <c r="K18" i="5" s="1"/>
  <c r="Q11" i="12"/>
  <c r="R11" i="12"/>
  <c r="J12" i="12" l="1"/>
  <c r="K12" i="12" s="1"/>
  <c r="J19" i="5"/>
  <c r="K19" i="5" s="1"/>
  <c r="G20" i="5"/>
  <c r="H19" i="5"/>
  <c r="I19" i="5" s="1"/>
  <c r="G11" i="7"/>
  <c r="H10" i="7"/>
  <c r="I10" i="7" s="1"/>
  <c r="J10" i="7" s="1"/>
  <c r="R12" i="12"/>
  <c r="H13" i="12"/>
  <c r="O13" i="12" s="1"/>
  <c r="J13" i="12" l="1"/>
  <c r="K13" i="12" s="1"/>
  <c r="H11" i="7"/>
  <c r="I11" i="7"/>
  <c r="J11" i="7" s="1"/>
  <c r="G12" i="7"/>
  <c r="J20" i="5"/>
  <c r="K20" i="5" s="1"/>
  <c r="G21" i="5"/>
  <c r="H20" i="5"/>
  <c r="Q13" i="12"/>
  <c r="R13" i="12"/>
  <c r="H14" i="12"/>
  <c r="O14" i="12" s="1"/>
  <c r="J14" i="12" l="1"/>
  <c r="K14" i="12" s="1"/>
  <c r="I20" i="5"/>
  <c r="G13" i="7"/>
  <c r="H12" i="7"/>
  <c r="I12" i="7" s="1"/>
  <c r="J12" i="7" s="1"/>
  <c r="J21" i="5"/>
  <c r="K21" i="5" s="1"/>
  <c r="H21" i="5"/>
  <c r="I21" i="5" s="1"/>
  <c r="G22" i="5"/>
  <c r="Q14" i="12"/>
  <c r="R14" i="12"/>
  <c r="H15" i="12"/>
  <c r="O15" i="12" s="1"/>
  <c r="J15" i="12" l="1"/>
  <c r="K15" i="12" s="1"/>
  <c r="H13" i="7"/>
  <c r="I13" i="7" s="1"/>
  <c r="J13" i="7" s="1"/>
  <c r="G14" i="7"/>
  <c r="J22" i="5"/>
  <c r="K22" i="5" s="1"/>
  <c r="G23" i="5"/>
  <c r="H22" i="5"/>
  <c r="I22" i="5" s="1"/>
  <c r="Q15" i="12"/>
  <c r="R15" i="12"/>
  <c r="H16" i="12"/>
  <c r="O16" i="12" s="1"/>
  <c r="J16" i="12" l="1"/>
  <c r="K16" i="12" s="1"/>
  <c r="H23" i="5"/>
  <c r="I23" i="5" s="1"/>
  <c r="J23" i="5"/>
  <c r="K23" i="5" s="1"/>
  <c r="G24" i="5"/>
  <c r="H14" i="7"/>
  <c r="I14" i="7" s="1"/>
  <c r="J14" i="7" s="1"/>
  <c r="G15" i="7"/>
  <c r="Q16" i="12"/>
  <c r="R16" i="12"/>
  <c r="H17" i="12"/>
  <c r="O17" i="12" s="1"/>
  <c r="J17" i="12" l="1"/>
  <c r="K17" i="12" s="1"/>
  <c r="G16" i="7"/>
  <c r="H15" i="7"/>
  <c r="I15" i="7" s="1"/>
  <c r="J15" i="7" s="1"/>
  <c r="H24" i="5"/>
  <c r="I24" i="5" s="1"/>
  <c r="J24" i="5"/>
  <c r="K24" i="5" s="1"/>
  <c r="B11" i="5" s="1"/>
  <c r="B12" i="5" s="1"/>
  <c r="G25" i="5"/>
  <c r="Q17" i="12"/>
  <c r="R17" i="12"/>
  <c r="H18" i="12"/>
  <c r="O18" i="12" s="1"/>
  <c r="J18" i="12" l="1"/>
  <c r="K18" i="12" s="1"/>
  <c r="G26" i="5"/>
  <c r="H25" i="5"/>
  <c r="I25" i="5" s="1"/>
  <c r="J25" i="5"/>
  <c r="K25" i="5" s="1"/>
  <c r="H16" i="7"/>
  <c r="I16" i="7"/>
  <c r="J16" i="7" s="1"/>
  <c r="G17" i="7"/>
  <c r="Q18" i="12"/>
  <c r="R18" i="12"/>
  <c r="H19" i="12"/>
  <c r="O19" i="12" s="1"/>
  <c r="J19" i="12" l="1"/>
  <c r="K19" i="12" s="1"/>
  <c r="H17" i="7"/>
  <c r="I17" i="7" s="1"/>
  <c r="J17" i="7" s="1"/>
  <c r="G18" i="7"/>
  <c r="G27" i="5"/>
  <c r="H26" i="5"/>
  <c r="I26" i="5" s="1"/>
  <c r="J26" i="5"/>
  <c r="K26" i="5" s="1"/>
  <c r="Q19" i="12"/>
  <c r="R19" i="12"/>
  <c r="H20" i="12"/>
  <c r="H30" i="11" l="1"/>
  <c r="G30" i="11"/>
  <c r="E4" i="12"/>
  <c r="J20" i="12"/>
  <c r="K20" i="12" s="1"/>
  <c r="O20" i="12"/>
  <c r="J27" i="5"/>
  <c r="K27" i="5" s="1"/>
  <c r="G28" i="5"/>
  <c r="H27" i="5"/>
  <c r="I27" i="5" s="1"/>
  <c r="G19" i="7"/>
  <c r="H18" i="7"/>
  <c r="I18" i="7" s="1"/>
  <c r="J18" i="7" s="1"/>
  <c r="Q20" i="12"/>
  <c r="R20" i="12"/>
  <c r="H21" i="12"/>
  <c r="O21" i="12" s="1"/>
  <c r="F4" i="12" l="1"/>
  <c r="J21" i="12"/>
  <c r="K21" i="12" s="1"/>
  <c r="G29" i="5"/>
  <c r="H28" i="5"/>
  <c r="I28" i="5" s="1"/>
  <c r="J28" i="5"/>
  <c r="K28" i="5" s="1"/>
  <c r="H19" i="7"/>
  <c r="I19" i="7"/>
  <c r="J19" i="7" s="1"/>
  <c r="G20" i="7"/>
  <c r="Q21" i="12"/>
  <c r="R21" i="12"/>
  <c r="H22" i="12"/>
  <c r="O22" i="12" s="1"/>
  <c r="J22" i="12" l="1"/>
  <c r="K22" i="12" s="1"/>
  <c r="N4" i="12"/>
  <c r="N5" i="12" s="1"/>
  <c r="N6" i="12" s="1"/>
  <c r="N7" i="12" s="1"/>
  <c r="N8" i="12" s="1"/>
  <c r="N9" i="12" s="1"/>
  <c r="N10" i="12" s="1"/>
  <c r="N11" i="12" s="1"/>
  <c r="N12" i="12" s="1"/>
  <c r="N13" i="12" s="1"/>
  <c r="N14" i="12" s="1"/>
  <c r="N15" i="12" s="1"/>
  <c r="N16" i="12" s="1"/>
  <c r="N18" i="12" s="1"/>
  <c r="N19" i="12" s="1"/>
  <c r="N20" i="12" s="1"/>
  <c r="N21" i="12" s="1"/>
  <c r="N22" i="12" s="1"/>
  <c r="M4" i="12"/>
  <c r="G21" i="7"/>
  <c r="H20" i="7"/>
  <c r="I20" i="7" s="1"/>
  <c r="J20" i="7" s="1"/>
  <c r="J29" i="5"/>
  <c r="K29" i="5" s="1"/>
  <c r="H29" i="5"/>
  <c r="Q22" i="12"/>
  <c r="R22" i="12"/>
  <c r="H23" i="12"/>
  <c r="O23" i="12" s="1"/>
  <c r="J23" i="12" l="1"/>
  <c r="K23" i="12" s="1"/>
  <c r="P4" i="12"/>
  <c r="S4" i="12" s="1"/>
  <c r="M5" i="12"/>
  <c r="N23" i="12"/>
  <c r="I29" i="5"/>
  <c r="B13" i="5"/>
  <c r="H21" i="7"/>
  <c r="I21" i="7" s="1"/>
  <c r="J21" i="7" s="1"/>
  <c r="G22" i="7"/>
  <c r="Q23" i="12"/>
  <c r="R23" i="12"/>
  <c r="H24" i="12"/>
  <c r="O24" i="12" s="1"/>
  <c r="J24" i="12" l="1"/>
  <c r="K24" i="12" s="1"/>
  <c r="P5" i="12"/>
  <c r="S5" i="12" s="1"/>
  <c r="M6" i="12"/>
  <c r="P6" i="12" s="1"/>
  <c r="N24" i="12"/>
  <c r="H22" i="7"/>
  <c r="I22" i="7" s="1"/>
  <c r="J22" i="7" s="1"/>
  <c r="G23" i="7"/>
  <c r="Q24" i="12"/>
  <c r="R24" i="12"/>
  <c r="H25" i="12"/>
  <c r="O25" i="12" s="1"/>
  <c r="J25" i="12" l="1"/>
  <c r="K25" i="12" s="1"/>
  <c r="M7" i="12"/>
  <c r="S6" i="12"/>
  <c r="N25" i="12"/>
  <c r="G24" i="7"/>
  <c r="H23" i="7"/>
  <c r="I23" i="7" s="1"/>
  <c r="J23" i="7" s="1"/>
  <c r="Q25" i="12"/>
  <c r="R25" i="12"/>
  <c r="H26" i="12"/>
  <c r="O26" i="12" s="1"/>
  <c r="J26" i="12" l="1"/>
  <c r="K26" i="12" s="1"/>
  <c r="M8" i="12"/>
  <c r="P8" i="12" s="1"/>
  <c r="P7" i="12"/>
  <c r="S7" i="12" s="1"/>
  <c r="N26" i="12"/>
  <c r="H24" i="7"/>
  <c r="I24" i="7" s="1"/>
  <c r="J24" i="7" s="1"/>
  <c r="G25" i="7"/>
  <c r="Q26" i="12"/>
  <c r="R26" i="12"/>
  <c r="H27" i="12"/>
  <c r="O27" i="12" s="1"/>
  <c r="J27" i="12" l="1"/>
  <c r="K27" i="12" s="1"/>
  <c r="S8" i="12"/>
  <c r="M9" i="12"/>
  <c r="N27" i="12"/>
  <c r="G26" i="7"/>
  <c r="H25" i="7"/>
  <c r="I25" i="7" s="1"/>
  <c r="J25" i="7" s="1"/>
  <c r="Q27" i="12"/>
  <c r="R27" i="12"/>
  <c r="H28" i="12"/>
  <c r="O28" i="12" s="1"/>
  <c r="P9" i="12" l="1"/>
  <c r="S9" i="12" s="1"/>
  <c r="M10" i="12"/>
  <c r="J28" i="12"/>
  <c r="K28" i="12" s="1"/>
  <c r="N28" i="12"/>
  <c r="G27" i="7"/>
  <c r="H26" i="7"/>
  <c r="I26" i="7" s="1"/>
  <c r="J26" i="7" s="1"/>
  <c r="Q28" i="12"/>
  <c r="R28" i="12"/>
  <c r="H29" i="12"/>
  <c r="O29" i="12" s="1"/>
  <c r="P10" i="12" l="1"/>
  <c r="S10" i="12" s="1"/>
  <c r="M11" i="12"/>
  <c r="J29" i="12"/>
  <c r="K29" i="12" s="1"/>
  <c r="N29" i="12"/>
  <c r="H27" i="7"/>
  <c r="I27" i="7" s="1"/>
  <c r="J27" i="7" s="1"/>
  <c r="G28" i="7"/>
  <c r="R29" i="12"/>
  <c r="H30" i="12"/>
  <c r="O30" i="12" s="1"/>
  <c r="Q29" i="12"/>
  <c r="M12" i="12" l="1"/>
  <c r="P11" i="12"/>
  <c r="S11" i="12" s="1"/>
  <c r="J30" i="12"/>
  <c r="K30" i="12" s="1"/>
  <c r="N30" i="12"/>
  <c r="H28" i="7"/>
  <c r="I28" i="7" s="1"/>
  <c r="J28" i="7" s="1"/>
  <c r="G29" i="7"/>
  <c r="Q30" i="12"/>
  <c r="H31" i="12"/>
  <c r="O31" i="12" s="1"/>
  <c r="R30" i="12"/>
  <c r="P12" i="12" l="1"/>
  <c r="M13" i="12"/>
  <c r="J31" i="12"/>
  <c r="K31" i="12" s="1"/>
  <c r="N31" i="12"/>
  <c r="H32" i="12"/>
  <c r="O32" i="12" s="1"/>
  <c r="H29" i="7"/>
  <c r="I29" i="7" s="1"/>
  <c r="J29" i="7" s="1"/>
  <c r="B11" i="7" s="1"/>
  <c r="B12" i="7" s="1"/>
  <c r="Q31" i="12"/>
  <c r="R31" i="12"/>
  <c r="S12" i="12" l="1"/>
  <c r="P13" i="12"/>
  <c r="S13" i="12" s="1"/>
  <c r="M14" i="12"/>
  <c r="J32" i="12"/>
  <c r="K32" i="12" s="1"/>
  <c r="R32" i="12"/>
  <c r="Q32" i="12"/>
  <c r="H33" i="12"/>
  <c r="O33" i="12" s="1"/>
  <c r="N32" i="12"/>
  <c r="M15" i="12" l="1"/>
  <c r="P14" i="12"/>
  <c r="S14" i="12" s="1"/>
  <c r="J33" i="12"/>
  <c r="K33" i="12" s="1"/>
  <c r="H34" i="12"/>
  <c r="O34" i="12" s="1"/>
  <c r="R33" i="12"/>
  <c r="Q33" i="12"/>
  <c r="N33" i="12"/>
  <c r="P15" i="12" l="1"/>
  <c r="S15" i="12" s="1"/>
  <c r="M16" i="12"/>
  <c r="J34" i="12"/>
  <c r="K34" i="12" s="1"/>
  <c r="H35" i="12"/>
  <c r="O35" i="12" s="1"/>
  <c r="R34" i="12"/>
  <c r="N34" i="12"/>
  <c r="Q34" i="12"/>
  <c r="P16" i="12" l="1"/>
  <c r="S16" i="12" s="1"/>
  <c r="M17" i="12"/>
  <c r="J35" i="12"/>
  <c r="K35" i="12" s="1"/>
  <c r="R35" i="12"/>
  <c r="Q35" i="12"/>
  <c r="N35" i="12"/>
  <c r="H36" i="12"/>
  <c r="O36" i="12" l="1"/>
  <c r="H37" i="12"/>
  <c r="P17" i="12"/>
  <c r="S17" i="12" s="1"/>
  <c r="M18" i="12"/>
  <c r="J36" i="12"/>
  <c r="R36" i="12"/>
  <c r="Q36" i="12"/>
  <c r="N36" i="12"/>
  <c r="K36" i="12" l="1"/>
  <c r="J37" i="12"/>
  <c r="N37" i="12"/>
  <c r="O37" i="12"/>
  <c r="Q37" i="12"/>
  <c r="H38" i="12"/>
  <c r="R37" i="12"/>
  <c r="P18" i="12"/>
  <c r="S18" i="12" s="1"/>
  <c r="M19" i="12"/>
  <c r="K37" i="12" l="1"/>
  <c r="J38" i="12"/>
  <c r="H39" i="12"/>
  <c r="Q38" i="12"/>
  <c r="O38" i="12"/>
  <c r="N38" i="12"/>
  <c r="R38" i="12"/>
  <c r="M20" i="12"/>
  <c r="P19" i="12"/>
  <c r="S19" i="12" s="1"/>
  <c r="K38" i="12" l="1"/>
  <c r="J39" i="12"/>
  <c r="Q39" i="12"/>
  <c r="N39" i="12"/>
  <c r="H40" i="12"/>
  <c r="O39" i="12"/>
  <c r="R39" i="12"/>
  <c r="P20" i="12"/>
  <c r="S20" i="12" s="1"/>
  <c r="M21" i="12"/>
  <c r="K39" i="12" l="1"/>
  <c r="J40" i="12"/>
  <c r="Q40" i="12"/>
  <c r="O40" i="12"/>
  <c r="H41" i="12"/>
  <c r="N40" i="12"/>
  <c r="R40" i="12"/>
  <c r="M22" i="12"/>
  <c r="P21" i="12"/>
  <c r="S21" i="12" s="1"/>
  <c r="N41" i="12" l="1"/>
  <c r="O41" i="12"/>
  <c r="Q41" i="12"/>
  <c r="R41" i="12"/>
  <c r="K40" i="12"/>
  <c r="J41" i="12"/>
  <c r="K41" i="12" s="1"/>
  <c r="M23" i="12"/>
  <c r="P22" i="12"/>
  <c r="S22" i="12" s="1"/>
  <c r="M24" i="12" l="1"/>
  <c r="P23" i="12"/>
  <c r="S23" i="12" s="1"/>
  <c r="P24" i="12" l="1"/>
  <c r="S24" i="12" s="1"/>
  <c r="M25" i="12"/>
  <c r="P25" i="12" l="1"/>
  <c r="S25" i="12" s="1"/>
  <c r="M26" i="12"/>
  <c r="M27" i="12" l="1"/>
  <c r="P26" i="12"/>
  <c r="S26" i="12" s="1"/>
  <c r="P27" i="12" l="1"/>
  <c r="S27" i="12" s="1"/>
  <c r="M28" i="12"/>
  <c r="P28" i="12" l="1"/>
  <c r="S28" i="12" s="1"/>
  <c r="M29" i="12"/>
  <c r="P29" i="12" l="1"/>
  <c r="S29" i="12" s="1"/>
  <c r="M30" i="12"/>
  <c r="P30" i="12" l="1"/>
  <c r="S30" i="12" s="1"/>
  <c r="M31" i="12"/>
  <c r="P31" i="12" l="1"/>
  <c r="S31" i="12" s="1"/>
  <c r="M32" i="12"/>
  <c r="P32" i="12" l="1"/>
  <c r="S32" i="12" s="1"/>
  <c r="M33" i="12"/>
  <c r="P33" i="12" l="1"/>
  <c r="S33" i="12" s="1"/>
  <c r="M34" i="12"/>
  <c r="P34" i="12" l="1"/>
  <c r="S34" i="12" s="1"/>
  <c r="M35" i="12"/>
  <c r="P35" i="12" l="1"/>
  <c r="S35" i="12" s="1"/>
  <c r="M36" i="12"/>
  <c r="P36" i="12" l="1"/>
  <c r="S36" i="12" s="1"/>
  <c r="M37" i="12"/>
  <c r="T42" i="12"/>
  <c r="C43" i="11" s="1"/>
  <c r="P37" i="12" l="1"/>
  <c r="S37" i="12" s="1"/>
  <c r="M38" i="12"/>
  <c r="P38" i="12" l="1"/>
  <c r="S38" i="12" s="1"/>
  <c r="M39" i="12"/>
  <c r="P39" i="12" l="1"/>
  <c r="S39" i="12" s="1"/>
  <c r="M40" i="12"/>
  <c r="P40" i="12" l="1"/>
  <c r="S40" i="12" s="1"/>
  <c r="M41" i="12"/>
  <c r="P41" i="12" s="1"/>
  <c r="S41" i="12" s="1"/>
</calcChain>
</file>

<file path=xl/sharedStrings.xml><?xml version="1.0" encoding="utf-8"?>
<sst xmlns="http://schemas.openxmlformats.org/spreadsheetml/2006/main" count="315" uniqueCount="245">
  <si>
    <t>Home</t>
  </si>
  <si>
    <t>Work</t>
  </si>
  <si>
    <t>Non-Work</t>
  </si>
  <si>
    <t>Non-Home</t>
  </si>
  <si>
    <t>Truck</t>
  </si>
  <si>
    <t>Taxi</t>
  </si>
  <si>
    <t>External Auto</t>
  </si>
  <si>
    <t>Personal</t>
  </si>
  <si>
    <t>Business</t>
  </si>
  <si>
    <t>Weighted Average:</t>
  </si>
  <si>
    <t>Project Information</t>
  </si>
  <si>
    <t>Assumptions</t>
  </si>
  <si>
    <t>Base Year</t>
  </si>
  <si>
    <t>Discount Rate</t>
  </si>
  <si>
    <t>Vehicle Occupancy</t>
  </si>
  <si>
    <t>Name:</t>
  </si>
  <si>
    <t>ID Number:</t>
  </si>
  <si>
    <t>New HOV?</t>
  </si>
  <si>
    <t>Value of Travel Time (VoTT)</t>
  </si>
  <si>
    <t>Without Project</t>
  </si>
  <si>
    <t>With Project</t>
  </si>
  <si>
    <t>Control Values</t>
  </si>
  <si>
    <t>YES</t>
  </si>
  <si>
    <t>NO</t>
  </si>
  <si>
    <t>Year</t>
  </si>
  <si>
    <t>Facility V/C Ratio</t>
  </si>
  <si>
    <t>Interim Calculations</t>
  </si>
  <si>
    <t>Annual Days of Travel</t>
  </si>
  <si>
    <t>Delay B/C Ratio</t>
  </si>
  <si>
    <t>BCA Results</t>
  </si>
  <si>
    <t>Daily System/Facility Data</t>
  </si>
  <si>
    <t>Annual VHT Savings</t>
  </si>
  <si>
    <t>Common Values:</t>
  </si>
  <si>
    <t>Delay Analysis Values:</t>
  </si>
  <si>
    <t>Base Year for Analysis</t>
  </si>
  <si>
    <t>Real Discount Rate</t>
  </si>
  <si>
    <t>VOC Emissions Factor (g/mi)</t>
  </si>
  <si>
    <t>Nox Emissions Factor (g/mi)</t>
  </si>
  <si>
    <t>Emissions Reduction Estimates</t>
  </si>
  <si>
    <t>VMT Reduced (Daily)</t>
  </si>
  <si>
    <t>AND</t>
  </si>
  <si>
    <t>OR</t>
  </si>
  <si>
    <t>Project Life (see MOSER page A.8.9)</t>
  </si>
  <si>
    <t>Bike/Ped or LCI?</t>
  </si>
  <si>
    <t>VOC Emissions Reduced (metric tons/yr)</t>
  </si>
  <si>
    <t>NOx Emissions Reduced (metric tons/yr)</t>
  </si>
  <si>
    <t>NOx Reduced (tonnes/yr)</t>
  </si>
  <si>
    <t>VOC Reduced (tonnes/year)</t>
  </si>
  <si>
    <t>IDAS Vehicle Occupancy</t>
  </si>
  <si>
    <t>Annual VHT Reduction (Vehicles)</t>
  </si>
  <si>
    <t>Annual PHT Reduction (IDAS)</t>
  </si>
  <si>
    <t>Discounted Delay Benefits (2015 $, '000s)</t>
  </si>
  <si>
    <t>Year Open to Traffic?</t>
  </si>
  <si>
    <t>Total Cost (2015 $, '000s)</t>
  </si>
  <si>
    <t>Federal Funding Req. (2015 $, '000s)</t>
  </si>
  <si>
    <t>Value of Delay Savings (2013 $, '000s)</t>
  </si>
  <si>
    <t>Cargo</t>
  </si>
  <si>
    <t>Service</t>
  </si>
  <si>
    <t>Value of VOC Savings (2013 $, '000s)</t>
  </si>
  <si>
    <t>Value of NOx Savings (2013 $, '000s)</t>
  </si>
  <si>
    <t>Discounted Emissions Benefits (2015 $, '000s)</t>
  </si>
  <si>
    <t>Annualized Cost Effectiveness (2015 $, '000s/tonne)</t>
  </si>
  <si>
    <t>Volatile Organic Compounds (VOCs), $ / metric ton (2015 $)</t>
  </si>
  <si>
    <t>Nitrogen oxides (NOx), $ / metric ton (2015 $)</t>
  </si>
  <si>
    <t>Years to include in BCA Analysis</t>
  </si>
  <si>
    <t>Application ID Number:</t>
  </si>
  <si>
    <t>Use in Analysis?</t>
  </si>
  <si>
    <t>Demand Growth</t>
  </si>
  <si>
    <t>Benefit Cap</t>
  </si>
  <si>
    <t>Real wage growth rate</t>
  </si>
  <si>
    <t>n/a</t>
  </si>
  <si>
    <t>Benefit Results</t>
  </si>
  <si>
    <t>INPUTS</t>
  </si>
  <si>
    <t>OUTPUTS</t>
  </si>
  <si>
    <t>Value of Time</t>
  </si>
  <si>
    <t>Daily Travel Demand</t>
  </si>
  <si>
    <t>VHT Improvements</t>
  </si>
  <si>
    <t>Project Title:</t>
  </si>
  <si>
    <t>County</t>
  </si>
  <si>
    <t>Facility Type</t>
  </si>
  <si>
    <t>Limits (From)</t>
  </si>
  <si>
    <t>Limits (To)</t>
  </si>
  <si>
    <t>Service Life (years):</t>
  </si>
  <si>
    <t>Access Management</t>
  </si>
  <si>
    <t xml:space="preserve">Grade Separation </t>
  </si>
  <si>
    <t>Median U-Turns</t>
  </si>
  <si>
    <t>Ramp Configuration</t>
  </si>
  <si>
    <t>Superstreets</t>
  </si>
  <si>
    <t>Aggressive Incident Clearance</t>
  </si>
  <si>
    <t>Dynamic Truck Restrictions</t>
  </si>
  <si>
    <t>Intersection Turn Lanes</t>
  </si>
  <si>
    <t>Roundabouts</t>
  </si>
  <si>
    <t>Truck Lane Restrictions</t>
  </si>
  <si>
    <t>Trip Reduction Options</t>
  </si>
  <si>
    <t>Shoulder Pavement Upgrades</t>
  </si>
  <si>
    <t>Sustainable Pavements</t>
  </si>
  <si>
    <t>Within Service life</t>
  </si>
  <si>
    <t>Proposed Improvements Information</t>
  </si>
  <si>
    <r>
      <t xml:space="preserve">Acceleration/Deceleration Lanes (Speed Change Lane) </t>
    </r>
    <r>
      <rPr>
        <i/>
        <sz val="11"/>
        <color rgb="FF231F20"/>
        <rFont val="Calibri"/>
        <family val="2"/>
        <scheme val="minor"/>
      </rPr>
      <t/>
    </r>
  </si>
  <si>
    <t>Bottleneck Removal</t>
  </si>
  <si>
    <t xml:space="preserve">Freight Shuttle System </t>
  </si>
  <si>
    <t xml:space="preserve">Managed HOT/HOV Lanes </t>
  </si>
  <si>
    <t xml:space="preserve">Adding New Lanes or Roads </t>
  </si>
  <si>
    <t>Adding New Toll Roads</t>
  </si>
  <si>
    <t>Temporary Shoulder Use</t>
  </si>
  <si>
    <t>Bicycle Lanes</t>
  </si>
  <si>
    <t>Bicycle-Pedestrian Education and Encouragement</t>
  </si>
  <si>
    <t>Bike Sharing</t>
  </si>
  <si>
    <t>Cycle Tracks</t>
  </si>
  <si>
    <t>Multimodal Transportation Center (Corridors)</t>
  </si>
  <si>
    <t>Pedestrian Connections</t>
  </si>
  <si>
    <t>Active Traffic Management</t>
  </si>
  <si>
    <t>Diverging Diamond Intersection</t>
  </si>
  <si>
    <t>Dynamic Rerouting</t>
  </si>
  <si>
    <t>Queue Warning</t>
  </si>
  <si>
    <t>Ramp Flow Control</t>
  </si>
  <si>
    <t>Variable Speed Limits</t>
  </si>
  <si>
    <t>Pay to Drive Off-Peak</t>
  </si>
  <si>
    <t>Pay-As You-Drive Auto Insurance</t>
  </si>
  <si>
    <t>Variable Pricing</t>
  </si>
  <si>
    <t>Parking Management</t>
  </si>
  <si>
    <t>Construction Contracting Options</t>
  </si>
  <si>
    <t xml:space="preserve">Pavement Recycling </t>
  </si>
  <si>
    <t>Reducing Construction/Maintenance Disruption</t>
  </si>
  <si>
    <t>Continuous Flow Intersections</t>
  </si>
  <si>
    <t>Quadrant Intersections</t>
  </si>
  <si>
    <t>Loop Ramps Reducing Left Turns</t>
  </si>
  <si>
    <t>One-Way Streets</t>
  </si>
  <si>
    <t>Freight Rail Improvements</t>
  </si>
  <si>
    <t>Commercial Vehicle Accommodations</t>
  </si>
  <si>
    <t>Truck Incentives &amp; Use Restrictions</t>
  </si>
  <si>
    <t>Signal Operations &amp; Management</t>
  </si>
  <si>
    <r>
      <rPr>
        <sz val="11"/>
        <color rgb="FF231F20"/>
        <rFont val="Calibri"/>
        <family val="2"/>
        <scheme val="minor"/>
      </rPr>
      <t>Special Event Management</t>
    </r>
  </si>
  <si>
    <t>Road Weather Management</t>
  </si>
  <si>
    <t>Electronic Toll Collection Systems</t>
  </si>
  <si>
    <t>Reversible Traffic Lanes (Changeable Lane Assignments)</t>
  </si>
  <si>
    <t>Traffic Management Centers</t>
  </si>
  <si>
    <t xml:space="preserve">Traveler Information Systems </t>
  </si>
  <si>
    <t>Integrated Corridor Management</t>
  </si>
  <si>
    <t>Express Bus Service</t>
  </si>
  <si>
    <t>Park-and-Ride Lots</t>
  </si>
  <si>
    <t>Heavy Rail</t>
  </si>
  <si>
    <t>Commuter Rail</t>
  </si>
  <si>
    <t>Light Rail</t>
  </si>
  <si>
    <t>Bus Rapid Transit</t>
  </si>
  <si>
    <t>Local Bus Service</t>
  </si>
  <si>
    <t>Circulator Bus Transit</t>
  </si>
  <si>
    <t>Demand Response Transit</t>
  </si>
  <si>
    <t>Rural Transit</t>
  </si>
  <si>
    <t xml:space="preserve">Technology-Based Transit Improvements </t>
  </si>
  <si>
    <t>Fare Strategies</t>
  </si>
  <si>
    <t xml:space="preserve">Multimodal Transportation Centers </t>
  </si>
  <si>
    <t>Active Demand Management</t>
  </si>
  <si>
    <t>Carpooling</t>
  </si>
  <si>
    <t>Real-Time Ridesharing</t>
  </si>
  <si>
    <t>Vanpooling</t>
  </si>
  <si>
    <t>Flexible Work Hours</t>
  </si>
  <si>
    <t>Compressed Work Weeks</t>
  </si>
  <si>
    <t>Telecommuting</t>
  </si>
  <si>
    <t>Transportation Management Associations</t>
  </si>
  <si>
    <t>State Employee Trip Reduction</t>
  </si>
  <si>
    <t>Data entered by the sponsors</t>
  </si>
  <si>
    <t>Benefits calculated by the template</t>
  </si>
  <si>
    <t>Source: https://policy.tti.tamu.edu/congestion/estimating-congestion-benefits-of-transportation-projects-with-fixit-2-0/</t>
  </si>
  <si>
    <t>Strategies/Type of Improvement</t>
  </si>
  <si>
    <t>Estimated Delay Reduction Local Max</t>
  </si>
  <si>
    <t>Estimated Delay Reduction Local</t>
  </si>
  <si>
    <t>Estimated Delay Reduction Region Max</t>
  </si>
  <si>
    <t>Estimated Delay Reduction Region</t>
  </si>
  <si>
    <t>Brazoria</t>
  </si>
  <si>
    <t>Chambers</t>
  </si>
  <si>
    <t>Fort Bend</t>
  </si>
  <si>
    <t>Harris</t>
  </si>
  <si>
    <t>Liberty</t>
  </si>
  <si>
    <t>Montgomery</t>
  </si>
  <si>
    <t>Waller</t>
  </si>
  <si>
    <t>Facility Types</t>
  </si>
  <si>
    <t>Freeway</t>
  </si>
  <si>
    <t>Non Freeway</t>
  </si>
  <si>
    <t>Peak Period Volume</t>
  </si>
  <si>
    <t>Estimated Delay Reductions (in %)</t>
  </si>
  <si>
    <t>Peak Period VHT build</t>
  </si>
  <si>
    <t>Peak Period VHT nobuild</t>
  </si>
  <si>
    <t>Data populated/calculated based on inputs</t>
  </si>
  <si>
    <t>Galveston</t>
  </si>
  <si>
    <t>Percentage of ADT in Peak Period Traffic ((6am - 9am) + (3pm - 7pm))</t>
  </si>
  <si>
    <t>Estimated Delay Reductions Table</t>
  </si>
  <si>
    <t>Peak Period Traffic Volume in Year Open to Traffic</t>
  </si>
  <si>
    <t>Interim Calculations for Delay Reductions</t>
  </si>
  <si>
    <t>2021 Call For Projects - Benefit-Cost Analysis Assumptions*</t>
  </si>
  <si>
    <t>2030-2045 Demand Growth</t>
  </si>
  <si>
    <t>Federal Functional class</t>
  </si>
  <si>
    <t>Funtional class</t>
  </si>
  <si>
    <t>Interstate</t>
  </si>
  <si>
    <t>Principal Arterial - (Other Freeways and Expressways)</t>
  </si>
  <si>
    <t>Principal Arterial - Other</t>
  </si>
  <si>
    <t>Minor Arterial</t>
  </si>
  <si>
    <t>Major Collector</t>
  </si>
  <si>
    <t>Minor Collector</t>
  </si>
  <si>
    <t>Street Name/Location:</t>
  </si>
  <si>
    <t>Annual Days of Travel*</t>
  </si>
  <si>
    <t>Project Identification/Location</t>
  </si>
  <si>
    <t>NOT FOR ACTIVE TRANSPORTATION PROJECTS</t>
  </si>
  <si>
    <t>Person Trips by Purpose, H-GAC Regional Travel Demand Model</t>
  </si>
  <si>
    <t xml:space="preserve">Estimate Average Delay without project </t>
  </si>
  <si>
    <t>Per Veh In hours</t>
  </si>
  <si>
    <t>Per Veh In minutes</t>
  </si>
  <si>
    <t>Estimated Free Flow Speed before improvement (mph)</t>
  </si>
  <si>
    <t>Average Peak Period Corridor Speed before improvement (mph)</t>
  </si>
  <si>
    <r>
      <t xml:space="preserve">Year Open to Traffic? </t>
    </r>
    <r>
      <rPr>
        <b/>
        <sz val="11"/>
        <color theme="1"/>
        <rFont val="Calibri"/>
        <family val="2"/>
        <scheme val="minor"/>
      </rPr>
      <t>(Must be &gt;=2025)</t>
    </r>
  </si>
  <si>
    <t>*Annual Days of Travel = 365</t>
  </si>
  <si>
    <t>Estimated Delay Reduction</t>
  </si>
  <si>
    <t>MPOID/CSJ #</t>
  </si>
  <si>
    <t>Discounted Delay Benefits @ 7% (2021 $, '000s)</t>
  </si>
  <si>
    <t>Estimated Free Flow Travel Time</t>
  </si>
  <si>
    <t xml:space="preserve">Estimated Average Peak Period Travel Time without project </t>
  </si>
  <si>
    <t xml:space="preserve">Annual VHT in Year Open to Traffic </t>
  </si>
  <si>
    <t>2021-2030 Demand Growth</t>
  </si>
  <si>
    <t>Percentage gain in Wages (2019-2021)</t>
  </si>
  <si>
    <t>Project Length or One-way tranist vehicle trip length (in Miles)</t>
  </si>
  <si>
    <t>Value of VHT (cell B5 Savings ($ 000')</t>
  </si>
  <si>
    <t>Estimated Delay with project 1</t>
  </si>
  <si>
    <t>Estimated Average Peak Travel Time with project 1</t>
  </si>
  <si>
    <t>Estimated Average Peak Travel Time with project 2</t>
  </si>
  <si>
    <t>Estimated Delay with project 1 &amp; 2</t>
  </si>
  <si>
    <t>Estimated Delay with projects 1, 2 &amp; 3</t>
  </si>
  <si>
    <t>Estimated Average Peak Travel Time with projects 1, 2 &amp; 3</t>
  </si>
  <si>
    <t>Growth Rate</t>
  </si>
  <si>
    <t>2023-2030</t>
  </si>
  <si>
    <t>2030-2045</t>
  </si>
  <si>
    <t>Type of Improvement 1</t>
  </si>
  <si>
    <t>Type of Improvement 2</t>
  </si>
  <si>
    <t>Type of Improvement 3</t>
  </si>
  <si>
    <t>Peak period VHT In year open to traffic in hours</t>
  </si>
  <si>
    <t>County Name</t>
  </si>
  <si>
    <t>Peak Period AADT in Year Open to Traffic</t>
  </si>
  <si>
    <t>Blank</t>
  </si>
  <si>
    <t>2022 Traffic Volume (AADT)</t>
  </si>
  <si>
    <t>2022 Peak Period Traffic Volume</t>
  </si>
  <si>
    <t>2022 Peak Period AADT</t>
  </si>
  <si>
    <t>NPV @ 3.1% ($ 000')</t>
  </si>
  <si>
    <t>Value of Travel Time (VoTT), 2022 $</t>
  </si>
  <si>
    <t>2022 $ per person-hour)</t>
  </si>
  <si>
    <t>Value of Travel Time, TIGER BCA Resource Guide (2023)</t>
  </si>
  <si>
    <t>To the greatest extent possible, these values are taken from or consistent with the "Benefit-Cost Analysis Guidance for Discretionary Grant Programs" published by US DOT in December 2023. The full resource guide is available online at: https://www.transportation.gov/mission/office-secretary/office-policy/transportation-policy/benefit-cost-analysis-guidance.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</si>
</sst>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_(* #,##0_);_(* \(#,##0\);_(* &quot;-&quot;??_);_(@_)"/>
    <numFmt numFmtId="165" formatCode="&quot;$&quot;#,##0.00"/>
    <numFmt numFmtId="166" formatCode="&quot;$&quot;#,##0"/>
    <numFmt numFmtId="167" formatCode="0.000000"/>
    <numFmt numFmtId="168" formatCode="#,##0.000000"/>
    <numFmt numFmtId="169" formatCode="0.0%"/>
    <numFmt numFmtId="170" formatCode="0.000"/>
  </numFmts>
  <fonts count="1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i/>
      <sz val="11"/>
      <color theme="1"/>
      <name val="Calibri"/>
      <family val="2"/>
      <scheme val="minor"/>
    </font>
    <font>
      <u/>
      <sz val="11"/>
      <color theme="1"/>
      <name val="Calibri"/>
      <family val="2"/>
      <scheme val="minor"/>
    </font>
    <font>
      <i/>
      <sz val="11"/>
      <color theme="0"/>
      <name val="Calibri"/>
      <family val="2"/>
      <scheme val="minor"/>
    </font>
    <font>
      <b/>
      <u/>
      <sz val="11"/>
      <color theme="0"/>
      <name val="Calibri"/>
      <family val="2"/>
      <scheme val="minor"/>
    </font>
    <font>
      <b/>
      <sz val="14"/>
      <color theme="1"/>
      <name val="Calibri"/>
      <family val="2"/>
      <scheme val="minor"/>
    </font>
    <font>
      <i/>
      <sz val="9"/>
      <color theme="1"/>
      <name val="Calibri"/>
      <family val="2"/>
      <scheme val="minor"/>
    </font>
    <font>
      <sz val="11"/>
      <color rgb="FF231F20"/>
      <name val="Calibri"/>
      <family val="2"/>
      <scheme val="minor"/>
    </font>
    <font>
      <i/>
      <sz val="11"/>
      <color rgb="FF231F20"/>
      <name val="Calibri"/>
      <family val="2"/>
      <scheme val="minor"/>
    </font>
    <font>
      <sz val="11"/>
      <name val="Calibri"/>
      <family val="2"/>
      <scheme val="minor"/>
    </font>
    <font>
      <sz val="11"/>
      <color theme="0"/>
      <name val="Calibri"/>
      <family val="2"/>
      <scheme val="minor"/>
    </font>
    <font>
      <b/>
      <u/>
      <sz val="11"/>
      <color theme="1"/>
      <name val="Calibri"/>
      <family val="2"/>
      <scheme val="minor"/>
    </font>
  </fonts>
  <fills count="19">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theme="5" tint="0.79998168889431442"/>
        <bgColor indexed="64"/>
      </patternFill>
    </fill>
    <fill>
      <patternFill patternType="solid">
        <fgColor theme="5"/>
        <bgColor indexed="64"/>
      </patternFill>
    </fill>
    <fill>
      <patternFill patternType="solid">
        <fgColor theme="0" tint="-4.9989318521683403E-2"/>
        <bgColor theme="8" tint="0.79998168889431442"/>
      </patternFill>
    </fill>
    <fill>
      <patternFill patternType="solid">
        <fgColor theme="0" tint="-0.14999847407452621"/>
        <bgColor theme="8" tint="0.79998168889431442"/>
      </patternFill>
    </fill>
    <fill>
      <patternFill patternType="solid">
        <fgColor theme="0" tint="-0.14999847407452621"/>
        <bgColor theme="8" tint="0.59999389629810485"/>
      </patternFill>
    </fill>
    <fill>
      <patternFill patternType="solid">
        <fgColor theme="1" tint="0.34998626667073579"/>
        <bgColor indexed="64"/>
      </patternFill>
    </fill>
    <fill>
      <patternFill patternType="solid">
        <fgColor theme="0" tint="-4.9989318521683403E-2"/>
        <bgColor indexed="64"/>
      </patternFill>
    </fill>
    <fill>
      <patternFill patternType="mediumGray">
        <bgColor theme="0" tint="-4.9989318521683403E-2"/>
      </patternFill>
    </fill>
    <fill>
      <patternFill patternType="solid">
        <fgColor theme="7" tint="0.59999389629810485"/>
        <bgColor theme="8" tint="0.79998168889431442"/>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0"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81">
    <xf numFmtId="0" fontId="0" fillId="0" borderId="0" xfId="0"/>
    <xf numFmtId="10" fontId="0" fillId="0" borderId="0" xfId="3" applyNumberFormat="1" applyFont="1"/>
    <xf numFmtId="0" fontId="3" fillId="0" borderId="0" xfId="0" applyFont="1"/>
    <xf numFmtId="0" fontId="4" fillId="0" borderId="0" xfId="0" applyFont="1"/>
    <xf numFmtId="0" fontId="3" fillId="2" borderId="0" xfId="0" applyFont="1" applyFill="1" applyAlignment="1">
      <alignment horizontal="right"/>
    </xf>
    <xf numFmtId="44" fontId="3" fillId="2" borderId="0" xfId="2" applyFont="1" applyFill="1"/>
    <xf numFmtId="0" fontId="0" fillId="0" borderId="0" xfId="0" applyProtection="1"/>
    <xf numFmtId="0" fontId="0" fillId="3" borderId="1" xfId="0" applyFill="1" applyBorder="1"/>
    <xf numFmtId="0" fontId="0" fillId="3" borderId="1" xfId="0" applyFill="1" applyBorder="1" applyProtection="1">
      <protection locked="0"/>
    </xf>
    <xf numFmtId="0" fontId="2" fillId="4" borderId="1" xfId="0" applyFont="1" applyFill="1" applyBorder="1"/>
    <xf numFmtId="0" fontId="6" fillId="4" borderId="1" xfId="0" applyFont="1" applyFill="1" applyBorder="1" applyAlignment="1">
      <alignment horizontal="center"/>
    </xf>
    <xf numFmtId="3" fontId="0" fillId="3" borderId="1" xfId="0" applyNumberFormat="1" applyFill="1" applyBorder="1" applyProtection="1">
      <protection locked="0"/>
    </xf>
    <xf numFmtId="0" fontId="0" fillId="5" borderId="1" xfId="0" applyFill="1" applyBorder="1"/>
    <xf numFmtId="0" fontId="2" fillId="6" borderId="1" xfId="0" applyFont="1" applyFill="1" applyBorder="1"/>
    <xf numFmtId="0" fontId="0" fillId="7" borderId="1" xfId="0" applyFont="1" applyFill="1" applyBorder="1" applyAlignment="1">
      <alignment horizontal="center"/>
    </xf>
    <xf numFmtId="0" fontId="0" fillId="9" borderId="1" xfId="0" applyFont="1" applyFill="1" applyBorder="1" applyAlignment="1">
      <alignment horizontal="center"/>
    </xf>
    <xf numFmtId="0" fontId="2" fillId="10" borderId="1" xfId="0" applyFont="1" applyFill="1" applyBorder="1" applyAlignment="1">
      <alignment horizontal="center"/>
    </xf>
    <xf numFmtId="0" fontId="2" fillId="10" borderId="1" xfId="0" applyFont="1" applyFill="1" applyBorder="1" applyAlignment="1">
      <alignment horizontal="left"/>
    </xf>
    <xf numFmtId="0" fontId="0" fillId="11" borderId="1" xfId="0" applyFill="1" applyBorder="1"/>
    <xf numFmtId="9" fontId="0" fillId="11" borderId="1" xfId="0" applyNumberFormat="1" applyFill="1" applyBorder="1"/>
    <xf numFmtId="165" fontId="0" fillId="11" borderId="1" xfId="0" applyNumberFormat="1" applyFill="1" applyBorder="1"/>
    <xf numFmtId="0" fontId="0" fillId="11" borderId="2" xfId="0" applyFill="1" applyBorder="1"/>
    <xf numFmtId="3" fontId="0" fillId="11" borderId="3" xfId="0" applyNumberFormat="1" applyFill="1" applyBorder="1"/>
    <xf numFmtId="3" fontId="0" fillId="13" borderId="1" xfId="0" applyNumberFormat="1" applyFont="1" applyFill="1" applyBorder="1" applyAlignment="1" applyProtection="1">
      <alignment horizontal="center"/>
      <protection locked="0"/>
    </xf>
    <xf numFmtId="0" fontId="0" fillId="3" borderId="1" xfId="0" applyFill="1" applyBorder="1" applyAlignment="1"/>
    <xf numFmtId="166" fontId="0" fillId="3" borderId="1" xfId="0" applyNumberFormat="1" applyFill="1" applyBorder="1" applyProtection="1">
      <protection locked="0"/>
    </xf>
    <xf numFmtId="0" fontId="6" fillId="10" borderId="1" xfId="0" applyFont="1" applyFill="1" applyBorder="1" applyAlignment="1">
      <alignment horizontal="center"/>
    </xf>
    <xf numFmtId="0" fontId="0" fillId="0" borderId="0" xfId="0" applyAlignment="1">
      <alignment vertical="top"/>
    </xf>
    <xf numFmtId="0" fontId="0" fillId="11" borderId="1" xfId="0" applyNumberFormat="1" applyFill="1" applyBorder="1"/>
    <xf numFmtId="0" fontId="0" fillId="0" borderId="0" xfId="0" applyFill="1" applyBorder="1"/>
    <xf numFmtId="9" fontId="0" fillId="0" borderId="0" xfId="0" applyNumberFormat="1" applyFill="1" applyBorder="1"/>
    <xf numFmtId="0" fontId="3" fillId="0" borderId="0" xfId="0" applyFont="1" applyFill="1" applyBorder="1"/>
    <xf numFmtId="0" fontId="0" fillId="0" borderId="1" xfId="0" applyFill="1" applyBorder="1" applyAlignment="1">
      <alignment vertical="top"/>
    </xf>
    <xf numFmtId="165" fontId="0" fillId="0" borderId="1" xfId="0" applyNumberFormat="1" applyFill="1" applyBorder="1" applyAlignment="1">
      <alignment vertical="top"/>
    </xf>
    <xf numFmtId="0" fontId="0" fillId="0" borderId="1" xfId="0" applyNumberFormat="1" applyFill="1" applyBorder="1" applyAlignment="1">
      <alignment vertical="top"/>
    </xf>
    <xf numFmtId="168" fontId="0" fillId="11" borderId="3" xfId="0" applyNumberFormat="1" applyFill="1" applyBorder="1"/>
    <xf numFmtId="165" fontId="0" fillId="7" borderId="1" xfId="2" applyNumberFormat="1" applyFont="1" applyFill="1" applyBorder="1" applyAlignment="1">
      <alignment horizontal="center"/>
    </xf>
    <xf numFmtId="166" fontId="0" fillId="11" borderId="1" xfId="0" applyNumberFormat="1" applyFill="1" applyBorder="1"/>
    <xf numFmtId="165" fontId="0" fillId="7" borderId="1" xfId="2" applyNumberFormat="1" applyFont="1" applyFill="1" applyBorder="1" applyAlignment="1" applyProtection="1">
      <alignment horizontal="center"/>
    </xf>
    <xf numFmtId="167" fontId="0" fillId="13" borderId="1" xfId="0" applyNumberFormat="1" applyFont="1" applyFill="1" applyBorder="1" applyAlignment="1" applyProtection="1">
      <alignment horizontal="center"/>
      <protection locked="0"/>
    </xf>
    <xf numFmtId="165" fontId="0" fillId="8" borderId="1" xfId="2" applyNumberFormat="1" applyFont="1" applyFill="1" applyBorder="1" applyAlignment="1" applyProtection="1">
      <alignment horizontal="center"/>
    </xf>
    <xf numFmtId="165" fontId="0" fillId="5" borderId="1" xfId="0" applyNumberFormat="1" applyFill="1" applyBorder="1"/>
    <xf numFmtId="2" fontId="0" fillId="5" borderId="1" xfId="0" applyNumberFormat="1" applyFill="1" applyBorder="1"/>
    <xf numFmtId="165" fontId="0" fillId="9" borderId="1" xfId="2" applyNumberFormat="1" applyFont="1" applyFill="1" applyBorder="1" applyAlignment="1">
      <alignment horizontal="center"/>
    </xf>
    <xf numFmtId="166" fontId="0" fillId="5" borderId="1" xfId="0" applyNumberFormat="1" applyFill="1" applyBorder="1"/>
    <xf numFmtId="167" fontId="0" fillId="11" borderId="1" xfId="0" applyNumberFormat="1" applyFill="1" applyBorder="1" applyProtection="1">
      <protection locked="0"/>
    </xf>
    <xf numFmtId="4" fontId="0" fillId="3" borderId="1" xfId="0" applyNumberFormat="1" applyFill="1" applyBorder="1" applyProtection="1">
      <protection locked="0"/>
    </xf>
    <xf numFmtId="0" fontId="0" fillId="3" borderId="1" xfId="0" applyNumberFormat="1" applyFill="1" applyBorder="1" applyProtection="1">
      <protection locked="0"/>
    </xf>
    <xf numFmtId="9" fontId="0" fillId="0" borderId="1" xfId="0" applyNumberFormat="1" applyFill="1" applyBorder="1" applyAlignment="1">
      <alignment horizontal="right" vertical="top"/>
    </xf>
    <xf numFmtId="0" fontId="0" fillId="0" borderId="1" xfId="0" applyBorder="1"/>
    <xf numFmtId="2" fontId="0" fillId="0" borderId="0" xfId="0" applyNumberFormat="1"/>
    <xf numFmtId="0" fontId="0" fillId="0" borderId="0" xfId="0" applyNumberFormat="1"/>
    <xf numFmtId="0" fontId="0" fillId="0" borderId="1" xfId="0" applyFill="1" applyBorder="1"/>
    <xf numFmtId="169" fontId="0" fillId="0" borderId="1" xfId="3" applyNumberFormat="1" applyFont="1" applyFill="1" applyBorder="1"/>
    <xf numFmtId="0" fontId="0" fillId="0" borderId="0" xfId="0" applyFill="1"/>
    <xf numFmtId="164" fontId="0" fillId="0" borderId="0" xfId="1" applyNumberFormat="1" applyFont="1" applyFill="1"/>
    <xf numFmtId="10" fontId="0" fillId="0" borderId="0" xfId="3" applyNumberFormat="1" applyFont="1" applyFill="1"/>
    <xf numFmtId="164" fontId="3" fillId="0" borderId="0" xfId="0" applyNumberFormat="1" applyFont="1" applyFill="1"/>
    <xf numFmtId="0" fontId="4" fillId="0" borderId="0" xfId="0" applyFont="1" applyFill="1"/>
    <xf numFmtId="0" fontId="5" fillId="0" borderId="0" xfId="0" applyFont="1" applyFill="1" applyAlignment="1">
      <alignment horizontal="right"/>
    </xf>
    <xf numFmtId="0" fontId="0" fillId="0" borderId="0" xfId="0" applyFill="1" applyAlignment="1">
      <alignment horizontal="left"/>
    </xf>
    <xf numFmtId="44" fontId="0" fillId="0" borderId="0" xfId="2" applyFont="1" applyFill="1"/>
    <xf numFmtId="44" fontId="0" fillId="0" borderId="0" xfId="0" applyNumberFormat="1" applyFill="1"/>
    <xf numFmtId="8" fontId="0" fillId="0" borderId="0" xfId="0" applyNumberFormat="1"/>
    <xf numFmtId="0" fontId="3" fillId="14" borderId="1" xfId="0" applyFont="1" applyFill="1" applyBorder="1" applyAlignment="1">
      <alignment horizontal="left" vertical="center" wrapText="1"/>
    </xf>
    <xf numFmtId="3" fontId="0" fillId="14" borderId="1" xfId="0" applyNumberFormat="1" applyFont="1" applyFill="1" applyBorder="1" applyAlignment="1" applyProtection="1">
      <alignment horizontal="center"/>
    </xf>
    <xf numFmtId="165" fontId="0" fillId="14" borderId="1" xfId="0" applyNumberFormat="1" applyFont="1" applyFill="1" applyBorder="1" applyAlignment="1" applyProtection="1">
      <alignment horizontal="center"/>
    </xf>
    <xf numFmtId="0" fontId="10" fillId="0" borderId="1" xfId="0" applyFont="1" applyFill="1" applyBorder="1" applyAlignment="1">
      <alignment vertical="top" wrapText="1"/>
    </xf>
    <xf numFmtId="9" fontId="0" fillId="0" borderId="1" xfId="0" applyNumberFormat="1" applyFont="1" applyBorder="1"/>
    <xf numFmtId="0" fontId="12" fillId="0" borderId="1" xfId="0" applyFont="1" applyFill="1" applyBorder="1" applyAlignment="1">
      <alignment vertical="top" wrapText="1"/>
    </xf>
    <xf numFmtId="0" fontId="0" fillId="0" borderId="0" xfId="0" applyBorder="1"/>
    <xf numFmtId="9" fontId="0" fillId="0" borderId="1" xfId="0" applyNumberFormat="1" applyBorder="1"/>
    <xf numFmtId="9" fontId="0" fillId="0" borderId="1" xfId="0" applyNumberFormat="1" applyFont="1" applyBorder="1" applyAlignment="1">
      <alignment horizontal="center"/>
    </xf>
    <xf numFmtId="3" fontId="0" fillId="17" borderId="1" xfId="0" applyNumberFormat="1" applyFill="1" applyBorder="1" applyAlignment="1" applyProtection="1">
      <alignment horizontal="center" vertical="center"/>
    </xf>
    <xf numFmtId="0" fontId="3" fillId="14" borderId="2" xfId="0" applyFont="1" applyFill="1" applyBorder="1" applyAlignment="1">
      <alignment horizontal="left" vertical="center" wrapText="1"/>
    </xf>
    <xf numFmtId="9" fontId="0" fillId="0" borderId="2" xfId="0" applyNumberFormat="1" applyBorder="1"/>
    <xf numFmtId="0" fontId="3" fillId="0" borderId="0" xfId="0" applyFont="1" applyFill="1" applyBorder="1" applyAlignment="1">
      <alignment horizontal="left" vertical="center" wrapText="1"/>
    </xf>
    <xf numFmtId="3" fontId="0" fillId="0" borderId="0" xfId="0" applyNumberFormat="1" applyFill="1" applyBorder="1"/>
    <xf numFmtId="0" fontId="9" fillId="0" borderId="0" xfId="0" applyFont="1" applyFill="1" applyBorder="1" applyAlignment="1" applyProtection="1">
      <alignment vertical="center" wrapText="1"/>
      <protection locked="0"/>
    </xf>
    <xf numFmtId="0" fontId="0" fillId="17" borderId="1" xfId="0" applyFill="1" applyBorder="1" applyAlignment="1" applyProtection="1">
      <alignment vertical="center"/>
      <protection locked="0"/>
    </xf>
    <xf numFmtId="0" fontId="3" fillId="14" borderId="3" xfId="0" applyFont="1" applyFill="1" applyBorder="1" applyAlignment="1">
      <alignment horizontal="left" vertical="center" wrapText="1"/>
    </xf>
    <xf numFmtId="44" fontId="3" fillId="0" borderId="0" xfId="2" applyFont="1" applyFill="1"/>
    <xf numFmtId="3" fontId="0" fillId="3" borderId="1" xfId="0" applyNumberFormat="1" applyFill="1" applyBorder="1" applyAlignment="1" applyProtection="1">
      <alignment horizontal="left" vertical="center"/>
      <protection locked="0"/>
    </xf>
    <xf numFmtId="170" fontId="0" fillId="17" borderId="1" xfId="0" applyNumberFormat="1" applyFill="1" applyBorder="1" applyAlignment="1" applyProtection="1">
      <alignment horizontal="center" vertical="center"/>
    </xf>
    <xf numFmtId="170" fontId="0" fillId="17" borderId="1" xfId="0" applyNumberFormat="1" applyFill="1" applyBorder="1" applyAlignment="1" applyProtection="1">
      <alignment horizontal="center" vertical="center" wrapText="1"/>
    </xf>
    <xf numFmtId="0" fontId="0" fillId="3" borderId="1" xfId="0" applyNumberFormat="1" applyFill="1" applyBorder="1" applyAlignment="1" applyProtection="1">
      <alignment horizontal="left" vertical="center"/>
      <protection locked="0"/>
    </xf>
    <xf numFmtId="0" fontId="0" fillId="3" borderId="1" xfId="0" applyFill="1" applyBorder="1" applyAlignment="1" applyProtection="1">
      <alignment horizontal="left" vertical="center" wrapText="1"/>
      <protection locked="0"/>
    </xf>
    <xf numFmtId="9" fontId="0" fillId="17" borderId="1" xfId="0" applyNumberFormat="1" applyFill="1" applyBorder="1" applyAlignment="1" applyProtection="1">
      <alignment horizontal="left" vertical="center"/>
    </xf>
    <xf numFmtId="0" fontId="14" fillId="0" borderId="0" xfId="0" applyFont="1" applyAlignment="1" applyProtection="1">
      <alignment vertical="center"/>
      <protection locked="0"/>
    </xf>
    <xf numFmtId="0" fontId="0" fillId="0" borderId="0" xfId="0" applyAlignment="1" applyProtection="1">
      <alignment horizontal="left" vertical="center"/>
      <protection locked="0"/>
    </xf>
    <xf numFmtId="0" fontId="0" fillId="0" borderId="0" xfId="0" applyAlignment="1" applyProtection="1">
      <alignment vertical="center"/>
      <protection locked="0"/>
    </xf>
    <xf numFmtId="0" fontId="8" fillId="0" borderId="5" xfId="0" applyFont="1" applyBorder="1" applyAlignment="1" applyProtection="1">
      <alignment vertical="center"/>
      <protection locked="0"/>
    </xf>
    <xf numFmtId="0" fontId="0" fillId="0" borderId="5" xfId="0" applyBorder="1" applyAlignment="1" applyProtection="1">
      <alignment horizontal="left" vertical="center"/>
      <protection locked="0"/>
    </xf>
    <xf numFmtId="0" fontId="0" fillId="0" borderId="5" xfId="0" applyBorder="1" applyAlignment="1" applyProtection="1">
      <alignment vertical="center"/>
      <protection locked="0"/>
    </xf>
    <xf numFmtId="0" fontId="0" fillId="0" borderId="0" xfId="0" applyBorder="1" applyAlignment="1" applyProtection="1">
      <alignment vertical="center"/>
      <protection locked="0"/>
    </xf>
    <xf numFmtId="0" fontId="0" fillId="0" borderId="6" xfId="0" applyBorder="1" applyAlignment="1" applyProtection="1">
      <alignment vertical="center"/>
      <protection locked="0"/>
    </xf>
    <xf numFmtId="0" fontId="0" fillId="3" borderId="1" xfId="0" applyFill="1" applyBorder="1" applyAlignment="1" applyProtection="1">
      <alignment vertical="center"/>
      <protection locked="0"/>
    </xf>
    <xf numFmtId="0" fontId="0" fillId="3" borderId="1" xfId="0" applyFill="1" applyBorder="1" applyAlignment="1" applyProtection="1">
      <alignment horizontal="left" vertical="center"/>
      <protection locked="0"/>
    </xf>
    <xf numFmtId="0" fontId="2" fillId="0" borderId="0" xfId="0" applyFont="1" applyFill="1" applyBorder="1" applyAlignment="1" applyProtection="1">
      <alignment vertical="center"/>
      <protection locked="0"/>
    </xf>
    <xf numFmtId="167" fontId="0" fillId="0" borderId="0" xfId="0" applyNumberFormat="1" applyAlignment="1" applyProtection="1">
      <alignment vertical="center"/>
      <protection locked="0"/>
    </xf>
    <xf numFmtId="0" fontId="0" fillId="0" borderId="0" xfId="0" applyFill="1" applyAlignment="1" applyProtection="1">
      <alignment vertical="center"/>
      <protection locked="0"/>
    </xf>
    <xf numFmtId="0" fontId="0" fillId="0" borderId="0" xfId="0" applyFill="1" applyAlignment="1" applyProtection="1">
      <alignment horizontal="left" vertical="center"/>
      <protection locked="0"/>
    </xf>
    <xf numFmtId="0" fontId="2" fillId="16" borderId="1" xfId="0" applyFont="1" applyFill="1" applyBorder="1" applyAlignment="1" applyProtection="1">
      <alignment vertical="center"/>
      <protection locked="0"/>
    </xf>
    <xf numFmtId="170" fontId="0" fillId="0" borderId="0" xfId="0" applyNumberFormat="1" applyAlignment="1" applyProtection="1">
      <alignment vertical="center"/>
      <protection locked="0"/>
    </xf>
    <xf numFmtId="0" fontId="6" fillId="1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center"/>
      <protection locked="0"/>
    </xf>
    <xf numFmtId="0" fontId="0" fillId="5" borderId="1" xfId="0" applyFill="1" applyBorder="1" applyAlignment="1" applyProtection="1">
      <alignment vertical="center"/>
      <protection locked="0"/>
    </xf>
    <xf numFmtId="166" fontId="3" fillId="5" borderId="1" xfId="0" applyNumberFormat="1" applyFont="1" applyFill="1" applyBorder="1" applyAlignment="1" applyProtection="1">
      <alignment horizontal="left" vertical="center"/>
    </xf>
    <xf numFmtId="0" fontId="0" fillId="3" borderId="1" xfId="0" applyFill="1" applyBorder="1" applyAlignment="1" applyProtection="1">
      <alignment vertical="center" wrapText="1"/>
      <protection locked="0"/>
    </xf>
    <xf numFmtId="1" fontId="0" fillId="0" borderId="0" xfId="0" applyNumberFormat="1" applyAlignment="1" applyProtection="1">
      <alignment horizontal="left" vertical="center"/>
      <protection locked="0"/>
    </xf>
    <xf numFmtId="10" fontId="0" fillId="0" borderId="1" xfId="0" applyNumberFormat="1" applyBorder="1" applyAlignment="1">
      <alignment horizontal="center"/>
    </xf>
    <xf numFmtId="3" fontId="0" fillId="0" borderId="0" xfId="0" applyNumberFormat="1"/>
    <xf numFmtId="10" fontId="0" fillId="0" borderId="0" xfId="0" applyNumberFormat="1" applyAlignment="1">
      <alignment horizontal="center"/>
    </xf>
    <xf numFmtId="2" fontId="0" fillId="17" borderId="1" xfId="0" applyNumberFormat="1" applyFill="1" applyBorder="1" applyAlignment="1" applyProtection="1">
      <alignment horizontal="center" vertical="center"/>
    </xf>
    <xf numFmtId="0" fontId="2" fillId="10" borderId="1" xfId="0" applyFont="1" applyFill="1" applyBorder="1" applyAlignment="1" applyProtection="1">
      <alignment horizontal="left"/>
    </xf>
    <xf numFmtId="0" fontId="0" fillId="10" borderId="0" xfId="0" applyFill="1" applyProtection="1"/>
    <xf numFmtId="0" fontId="6" fillId="10" borderId="1" xfId="0" applyFont="1" applyFill="1" applyBorder="1" applyAlignment="1" applyProtection="1">
      <alignment horizontal="center" wrapText="1"/>
    </xf>
    <xf numFmtId="0" fontId="2" fillId="10" borderId="1" xfId="0" applyFont="1" applyFill="1" applyBorder="1" applyAlignment="1" applyProtection="1">
      <alignment horizontal="center" wrapText="1"/>
    </xf>
    <xf numFmtId="10" fontId="2" fillId="10" borderId="1" xfId="3" applyNumberFormat="1" applyFont="1" applyFill="1" applyBorder="1" applyAlignment="1" applyProtection="1">
      <alignment horizontal="center" wrapText="1"/>
    </xf>
    <xf numFmtId="2" fontId="2" fillId="10" borderId="1" xfId="0" applyNumberFormat="1" applyFont="1" applyFill="1" applyBorder="1" applyAlignment="1" applyProtection="1">
      <alignment horizontal="center" wrapText="1"/>
    </xf>
    <xf numFmtId="0" fontId="2" fillId="10" borderId="1" xfId="0" applyNumberFormat="1" applyFont="1" applyFill="1" applyBorder="1" applyAlignment="1" applyProtection="1">
      <alignment horizontal="center" wrapText="1"/>
    </xf>
    <xf numFmtId="0" fontId="0" fillId="11" borderId="1" xfId="0" applyFill="1" applyBorder="1" applyProtection="1"/>
    <xf numFmtId="0" fontId="0" fillId="11" borderId="1" xfId="0" applyNumberFormat="1" applyFill="1" applyBorder="1" applyProtection="1"/>
    <xf numFmtId="3" fontId="0" fillId="11" borderId="1" xfId="0" applyNumberFormat="1" applyFill="1" applyBorder="1" applyProtection="1"/>
    <xf numFmtId="0" fontId="0" fillId="8" borderId="1" xfId="0" applyFont="1" applyFill="1" applyBorder="1" applyAlignment="1" applyProtection="1">
      <alignment horizontal="center"/>
    </xf>
    <xf numFmtId="10" fontId="0" fillId="14" borderId="1" xfId="3" applyNumberFormat="1" applyFont="1" applyFill="1" applyBorder="1" applyAlignment="1" applyProtection="1">
      <alignment horizontal="center"/>
    </xf>
    <xf numFmtId="2" fontId="0" fillId="14" borderId="1" xfId="0" applyNumberFormat="1" applyFont="1" applyFill="1" applyBorder="1" applyAlignment="1" applyProtection="1">
      <alignment horizontal="center"/>
    </xf>
    <xf numFmtId="0" fontId="0" fillId="14" borderId="1" xfId="0" applyNumberFormat="1" applyFont="1" applyFill="1" applyBorder="1" applyAlignment="1" applyProtection="1">
      <alignment horizontal="center"/>
    </xf>
    <xf numFmtId="3" fontId="0" fillId="8" borderId="1" xfId="0" applyNumberFormat="1" applyFont="1" applyFill="1" applyBorder="1" applyAlignment="1" applyProtection="1">
      <alignment horizontal="center"/>
    </xf>
    <xf numFmtId="166" fontId="0" fillId="14" borderId="1" xfId="2" applyNumberFormat="1" applyFont="1" applyFill="1" applyBorder="1" applyAlignment="1" applyProtection="1">
      <alignment horizontal="center"/>
    </xf>
    <xf numFmtId="166" fontId="0" fillId="15" borderId="1" xfId="0" applyNumberFormat="1" applyFill="1" applyBorder="1" applyAlignment="1" applyProtection="1">
      <alignment horizontal="center"/>
    </xf>
    <xf numFmtId="10" fontId="0" fillId="11" borderId="1" xfId="3" applyNumberFormat="1" applyFont="1" applyFill="1" applyBorder="1" applyProtection="1"/>
    <xf numFmtId="0" fontId="0" fillId="12" borderId="4" xfId="0" applyFill="1" applyBorder="1" applyProtection="1"/>
    <xf numFmtId="0" fontId="0" fillId="9" borderId="1" xfId="0" applyFont="1" applyFill="1" applyBorder="1" applyAlignment="1" applyProtection="1">
      <alignment horizontal="center"/>
    </xf>
    <xf numFmtId="2" fontId="0" fillId="14" borderId="1" xfId="3" applyNumberFormat="1" applyFont="1" applyFill="1" applyBorder="1" applyAlignment="1" applyProtection="1">
      <alignment horizontal="center"/>
    </xf>
    <xf numFmtId="0" fontId="0" fillId="14" borderId="1" xfId="3" applyNumberFormat="1" applyFont="1" applyFill="1" applyBorder="1" applyAlignment="1" applyProtection="1">
      <alignment horizontal="center"/>
    </xf>
    <xf numFmtId="3" fontId="0" fillId="9" borderId="1" xfId="0" applyNumberFormat="1" applyFont="1" applyFill="1" applyBorder="1" applyAlignment="1" applyProtection="1">
      <alignment horizontal="center"/>
    </xf>
    <xf numFmtId="165" fontId="0" fillId="11" borderId="1" xfId="0" applyNumberFormat="1" applyFill="1" applyBorder="1" applyProtection="1"/>
    <xf numFmtId="169" fontId="0" fillId="11" borderId="1" xfId="3" applyNumberFormat="1" applyFont="1" applyFill="1" applyBorder="1" applyProtection="1"/>
    <xf numFmtId="0" fontId="0" fillId="0" borderId="0" xfId="0" applyFill="1" applyBorder="1" applyProtection="1"/>
    <xf numFmtId="10" fontId="0" fillId="0" borderId="0" xfId="3" applyNumberFormat="1" applyFont="1" applyFill="1" applyBorder="1" applyProtection="1"/>
    <xf numFmtId="2" fontId="0" fillId="0" borderId="0" xfId="0" applyNumberFormat="1" applyFill="1" applyBorder="1" applyProtection="1"/>
    <xf numFmtId="9" fontId="0" fillId="11" borderId="1" xfId="0" applyNumberFormat="1" applyFill="1" applyBorder="1" applyProtection="1"/>
    <xf numFmtId="0" fontId="0" fillId="0" borderId="0" xfId="0" applyAlignment="1" applyProtection="1">
      <alignment vertical="top"/>
    </xf>
    <xf numFmtId="0" fontId="0" fillId="0" borderId="1" xfId="0" applyBorder="1" applyProtection="1"/>
    <xf numFmtId="10" fontId="0" fillId="0" borderId="1" xfId="3" applyNumberFormat="1" applyFont="1" applyBorder="1" applyProtection="1"/>
    <xf numFmtId="2" fontId="0" fillId="0" borderId="1" xfId="0" applyNumberFormat="1" applyBorder="1" applyProtection="1"/>
    <xf numFmtId="0" fontId="0" fillId="0" borderId="1" xfId="0" applyNumberFormat="1" applyBorder="1" applyProtection="1"/>
    <xf numFmtId="165" fontId="0" fillId="0" borderId="1" xfId="2" applyNumberFormat="1" applyFont="1" applyFill="1" applyBorder="1" applyAlignment="1" applyProtection="1">
      <alignment horizontal="center"/>
    </xf>
    <xf numFmtId="10" fontId="0" fillId="0" borderId="0" xfId="3" applyNumberFormat="1" applyFont="1" applyProtection="1"/>
    <xf numFmtId="2" fontId="0" fillId="0" borderId="0" xfId="0" applyNumberFormat="1" applyProtection="1"/>
    <xf numFmtId="0" fontId="0" fillId="0" borderId="0" xfId="0" applyNumberFormat="1" applyProtection="1"/>
    <xf numFmtId="0" fontId="0" fillId="0" borderId="1" xfId="0" applyBorder="1"/>
    <xf numFmtId="0" fontId="3" fillId="14" borderId="1" xfId="0" applyFont="1" applyFill="1" applyBorder="1"/>
    <xf numFmtId="10" fontId="0" fillId="0" borderId="0" xfId="0" applyNumberFormat="1"/>
    <xf numFmtId="166" fontId="0" fillId="5" borderId="1" xfId="0" applyNumberFormat="1" applyFill="1" applyBorder="1" applyAlignment="1" applyProtection="1">
      <alignment vertical="center"/>
      <protection locked="0"/>
    </xf>
    <xf numFmtId="0" fontId="0" fillId="17" borderId="1" xfId="0" applyFill="1" applyBorder="1" applyAlignment="1" applyProtection="1">
      <alignment horizontal="left" vertical="center" wrapText="1"/>
      <protection locked="0"/>
    </xf>
    <xf numFmtId="0" fontId="0" fillId="17" borderId="1" xfId="0" applyFill="1" applyBorder="1" applyAlignment="1" applyProtection="1">
      <alignment vertical="center" wrapText="1"/>
      <protection locked="0"/>
    </xf>
    <xf numFmtId="9" fontId="0" fillId="0" borderId="1" xfId="0" applyNumberFormat="1" applyBorder="1" applyAlignment="1">
      <alignment horizontal="center"/>
    </xf>
    <xf numFmtId="0" fontId="0" fillId="0" borderId="1" xfId="0" applyBorder="1" applyAlignment="1" applyProtection="1">
      <alignment wrapText="1"/>
      <protection locked="0"/>
    </xf>
    <xf numFmtId="3" fontId="0" fillId="0" borderId="1" xfId="0" applyNumberFormat="1" applyBorder="1" applyAlignment="1" applyProtection="1">
      <alignment horizontal="center" vertical="center"/>
      <protection locked="0"/>
    </xf>
    <xf numFmtId="0" fontId="0" fillId="0" borderId="1" xfId="0" applyBorder="1" applyProtection="1">
      <protection locked="0"/>
    </xf>
    <xf numFmtId="10" fontId="0" fillId="0" borderId="1" xfId="0" applyNumberFormat="1" applyBorder="1" applyAlignment="1" applyProtection="1">
      <alignment horizontal="center" vertical="center"/>
      <protection locked="0"/>
    </xf>
    <xf numFmtId="10" fontId="0" fillId="0" borderId="1" xfId="0" applyNumberFormat="1" applyBorder="1" applyAlignment="1" applyProtection="1">
      <alignment horizontal="center"/>
    </xf>
    <xf numFmtId="10" fontId="0" fillId="0" borderId="1" xfId="0" applyNumberFormat="1" applyBorder="1" applyProtection="1"/>
    <xf numFmtId="0" fontId="7" fillId="4" borderId="2" xfId="0" applyFont="1" applyFill="1" applyBorder="1" applyAlignment="1">
      <alignment horizontal="center"/>
    </xf>
    <xf numFmtId="0" fontId="7" fillId="4" borderId="3" xfId="0" applyFont="1" applyFill="1" applyBorder="1" applyAlignment="1">
      <alignment horizontal="center"/>
    </xf>
    <xf numFmtId="0" fontId="2" fillId="4" borderId="7"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0" fillId="0" borderId="2" xfId="0" applyFill="1" applyBorder="1" applyAlignment="1" applyProtection="1">
      <alignment horizontal="center" vertical="center"/>
      <protection locked="0"/>
    </xf>
    <xf numFmtId="0" fontId="0" fillId="0" borderId="3" xfId="0" applyFill="1"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13" fillId="10" borderId="2" xfId="0" applyFont="1" applyFill="1" applyBorder="1" applyAlignment="1" applyProtection="1">
      <alignment horizontal="center" wrapText="1"/>
    </xf>
    <xf numFmtId="0" fontId="13" fillId="10" borderId="3" xfId="0" applyFont="1" applyFill="1" applyBorder="1" applyAlignment="1" applyProtection="1">
      <alignment horizontal="center" wrapText="1"/>
    </xf>
    <xf numFmtId="0" fontId="13" fillId="10" borderId="2" xfId="0" applyFont="1" applyFill="1" applyBorder="1" applyAlignment="1" applyProtection="1">
      <alignment horizontal="left" wrapText="1"/>
    </xf>
    <xf numFmtId="0" fontId="13" fillId="10" borderId="3" xfId="0" applyFont="1" applyFill="1" applyBorder="1" applyAlignment="1" applyProtection="1">
      <alignment horizontal="left" wrapText="1"/>
    </xf>
    <xf numFmtId="0" fontId="0" fillId="0" borderId="0" xfId="0" applyAlignment="1">
      <alignment horizontal="left" vertical="top" wrapText="1"/>
    </xf>
    <xf numFmtId="0" fontId="0" fillId="0" borderId="0" xfId="0" applyAlignment="1">
      <alignment horizontal="left"/>
    </xf>
    <xf numFmtId="0" fontId="3" fillId="14" borderId="1" xfId="0" applyFont="1" applyFill="1" applyBorder="1" applyAlignment="1">
      <alignment horizontal="center"/>
    </xf>
    <xf numFmtId="0" fontId="2" fillId="18" borderId="5" xfId="0" applyFont="1" applyFill="1" applyBorder="1" applyAlignment="1">
      <alignment horizontal="center"/>
    </xf>
  </cellXfs>
  <cellStyles count="4">
    <cellStyle name="Comma" xfId="1" builtinId="3"/>
    <cellStyle name="Currency" xfId="2" builtinId="4"/>
    <cellStyle name="Normal" xfId="0" builtinId="0"/>
    <cellStyle name="Percent" xfId="3" builtinId="5"/>
  </cellStyles>
  <dxfs count="1">
    <dxf>
      <fill>
        <patternFill>
          <bgColor rgb="FFFF61FF"/>
        </patternFill>
      </fill>
    </dxf>
  </dxfs>
  <tableStyles count="0" defaultTableStyle="TableStyleMedium9" defaultPivotStyle="PivotStyleLight16"/>
  <colors>
    <mruColors>
      <color rgb="FF0000FF"/>
      <color rgb="FFFF6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Drop" dropLines="2" dropStyle="combo" dx="16" fmlaLink="$B$6" fmlaRange="$A$52:$A$53" noThreeD="1" sel="1" val="0"/>
</file>

<file path=xl/ctrlProps/ctrlProp2.xml><?xml version="1.0" encoding="utf-8"?>
<formControlPr xmlns="http://schemas.microsoft.com/office/spreadsheetml/2009/9/main" objectType="Drop" dropLines="2" dropStyle="combo" dx="16" fmlaLink="$B$6" fmlaRange="$A$54:$A$55" noThreeD="1" sel="2" val="0"/>
</file>

<file path=xl/drawings/_rels/drawing4.xml.rels><?xml version="1.0" encoding="UTF-8" standalone="yes"?>
<Relationships xmlns="http://schemas.openxmlformats.org/package/2006/relationships"><Relationship Id="rId1" Type="http://schemas.openxmlformats.org/officeDocument/2006/relationships/hyperlink" Target="https://www.transportation.gov/mission/office-secretary/office-policy/transportation-policy/benefit-cost-analysis-guidance" TargetMode="External"/></Relationships>
</file>

<file path=xl/drawings/drawing1.xml><?xml version="1.0" encoding="utf-8"?>
<xdr:wsDr xmlns:xdr="http://schemas.openxmlformats.org/drawingml/2006/spreadsheetDrawing" xmlns:a="http://schemas.openxmlformats.org/drawingml/2006/main">
  <xdr:twoCellAnchor>
    <xdr:from>
      <xdr:col>0</xdr:col>
      <xdr:colOff>373672</xdr:colOff>
      <xdr:row>1</xdr:row>
      <xdr:rowOff>1171</xdr:rowOff>
    </xdr:from>
    <xdr:to>
      <xdr:col>11</xdr:col>
      <xdr:colOff>603739</xdr:colOff>
      <xdr:row>37</xdr:row>
      <xdr:rowOff>158750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373672" y="185321"/>
          <a:ext cx="10885367" cy="6786979"/>
        </a:xfrm>
        <a:prstGeom prst="rect">
          <a:avLst/>
        </a:prstGeom>
        <a:solidFill>
          <a:schemeClr val="bg1">
            <a:lumMod val="95000"/>
          </a:schemeClr>
        </a:solidFill>
        <a:ln>
          <a:solidFill>
            <a:schemeClr val="accent1">
              <a:lumMod val="50000"/>
            </a:schemeClr>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lang="en-US" sz="1100" b="1">
              <a:solidFill>
                <a:schemeClr val="dk1"/>
              </a:solidFill>
              <a:effectLst/>
              <a:latin typeface="+mn-lt"/>
              <a:ea typeface="+mn-ea"/>
              <a:cs typeface="+mn-cs"/>
            </a:rPr>
            <a:t>Instructions: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Instructions: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On the "Inputs &amp; Outputs" tab, fill in all "blue" shaded sections. Sponsors may request assistance from HGAC to fill in the Daily Travel Demand model information. </a:t>
          </a:r>
        </a:p>
        <a:p>
          <a:endParaRPr lang="en-US" sz="1100" i="1">
            <a:solidFill>
              <a:schemeClr val="dk1"/>
            </a:solidFill>
            <a:effectLst/>
            <a:latin typeface="+mn-lt"/>
            <a:ea typeface="+mn-ea"/>
            <a:cs typeface="+mn-cs"/>
          </a:endParaRPr>
        </a:p>
        <a:p>
          <a:r>
            <a:rPr lang="en-US" sz="1100" i="1">
              <a:solidFill>
                <a:schemeClr val="dk1"/>
              </a:solidFill>
              <a:effectLst/>
              <a:latin typeface="+mn-lt"/>
              <a:ea typeface="+mn-ea"/>
              <a:cs typeface="+mn-cs"/>
            </a:rPr>
            <a:t>Project Information</a:t>
          </a:r>
          <a:r>
            <a:rPr lang="en-US" sz="1100" b="1">
              <a:solidFill>
                <a:schemeClr val="dk1"/>
              </a:solidFill>
              <a:effectLst/>
              <a:latin typeface="+mn-lt"/>
              <a:ea typeface="+mn-ea"/>
              <a:cs typeface="+mn-cs"/>
            </a:rPr>
            <a:t>:</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	Project Title: </a:t>
          </a:r>
          <a:r>
            <a:rPr lang="en-US" sz="1100">
              <a:solidFill>
                <a:schemeClr val="dk1"/>
              </a:solidFill>
              <a:effectLst/>
              <a:latin typeface="+mn-lt"/>
              <a:ea typeface="+mn-ea"/>
              <a:cs typeface="+mn-cs"/>
            </a:rPr>
            <a:t>Enter the proposed project name/title.</a:t>
          </a:r>
        </a:p>
        <a:p>
          <a:r>
            <a:rPr lang="en-US" sz="1100" i="1">
              <a:solidFill>
                <a:schemeClr val="dk1"/>
              </a:solidFill>
              <a:effectLst/>
              <a:latin typeface="+mn-lt"/>
              <a:ea typeface="+mn-ea"/>
              <a:cs typeface="+mn-cs"/>
            </a:rPr>
            <a:t>	County:</a:t>
          </a:r>
          <a:r>
            <a:rPr lang="en-US" sz="1100">
              <a:solidFill>
                <a:schemeClr val="dk1"/>
              </a:solidFill>
              <a:effectLst/>
              <a:latin typeface="+mn-lt"/>
              <a:ea typeface="+mn-ea"/>
              <a:cs typeface="+mn-cs"/>
            </a:rPr>
            <a:t> Select county name from the drop-down list.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If the proposed roadway project is in more than one county, then select the county that contains majority of the 	project area.</a:t>
          </a:r>
        </a:p>
        <a:p>
          <a:r>
            <a:rPr lang="en-US" sz="1100" i="1">
              <a:solidFill>
                <a:schemeClr val="dk1"/>
              </a:solidFill>
              <a:effectLst/>
              <a:latin typeface="+mn-lt"/>
              <a:ea typeface="+mn-ea"/>
              <a:cs typeface="+mn-cs"/>
            </a:rPr>
            <a:t>	Facility Type:</a:t>
          </a:r>
          <a:r>
            <a:rPr lang="en-US" sz="1100">
              <a:solidFill>
                <a:schemeClr val="dk1"/>
              </a:solidFill>
              <a:effectLst/>
              <a:latin typeface="+mn-lt"/>
              <a:ea typeface="+mn-ea"/>
              <a:cs typeface="+mn-cs"/>
            </a:rPr>
            <a:t> Select the facility type of the proposed project from the drop-down list.</a:t>
          </a:r>
        </a:p>
        <a:p>
          <a:r>
            <a:rPr lang="en-US" sz="1100" i="1">
              <a:solidFill>
                <a:schemeClr val="dk1"/>
              </a:solidFill>
              <a:effectLst/>
              <a:latin typeface="+mn-lt"/>
              <a:ea typeface="+mn-ea"/>
              <a:cs typeface="+mn-cs"/>
            </a:rPr>
            <a:t>	Federal Functional Class: </a:t>
          </a:r>
          <a:r>
            <a:rPr lang="en-US" sz="1100">
              <a:solidFill>
                <a:schemeClr val="dk1"/>
              </a:solidFill>
              <a:effectLst/>
              <a:latin typeface="+mn-lt"/>
              <a:ea typeface="+mn-ea"/>
              <a:cs typeface="+mn-cs"/>
            </a:rPr>
            <a:t>Select the federal functional class of the roadway on which the proposed project will be implemented from the drop-down list.</a:t>
          </a:r>
        </a:p>
        <a:p>
          <a:r>
            <a:rPr lang="en-US" sz="1100" i="1">
              <a:solidFill>
                <a:schemeClr val="dk1"/>
              </a:solidFill>
              <a:effectLst/>
              <a:latin typeface="+mn-lt"/>
              <a:ea typeface="+mn-ea"/>
              <a:cs typeface="+mn-cs"/>
            </a:rPr>
            <a:t>	Street Name:</a:t>
          </a:r>
          <a:r>
            <a:rPr lang="en-US" sz="1100">
              <a:solidFill>
                <a:schemeClr val="dk1"/>
              </a:solidFill>
              <a:effectLst/>
              <a:latin typeface="+mn-lt"/>
              <a:ea typeface="+mn-ea"/>
              <a:cs typeface="+mn-cs"/>
            </a:rPr>
            <a:t> Enter name of the facility on which proposed project/improvement is located.  </a:t>
          </a:r>
        </a:p>
        <a:p>
          <a:r>
            <a:rPr lang="en-US" sz="1100" i="1">
              <a:solidFill>
                <a:schemeClr val="dk1"/>
              </a:solidFill>
              <a:effectLst/>
              <a:latin typeface="+mn-lt"/>
              <a:ea typeface="+mn-ea"/>
              <a:cs typeface="+mn-cs"/>
            </a:rPr>
            <a:t>	Limits:</a:t>
          </a:r>
          <a:r>
            <a:rPr lang="en-US" sz="1100">
              <a:solidFill>
                <a:schemeClr val="dk1"/>
              </a:solidFill>
              <a:effectLst/>
              <a:latin typeface="+mn-lt"/>
              <a:ea typeface="+mn-ea"/>
              <a:cs typeface="+mn-cs"/>
            </a:rPr>
            <a:t> Enter name limits from and to.</a:t>
          </a:r>
        </a:p>
        <a:p>
          <a:r>
            <a:rPr lang="en-US" sz="1100" i="1">
              <a:solidFill>
                <a:schemeClr val="dk1"/>
              </a:solidFill>
              <a:effectLst/>
              <a:latin typeface="+mn-lt"/>
              <a:ea typeface="+mn-ea"/>
              <a:cs typeface="+mn-cs"/>
            </a:rPr>
            <a:t>	Project Length:</a:t>
          </a:r>
          <a:r>
            <a:rPr lang="en-US" sz="1100">
              <a:solidFill>
                <a:schemeClr val="dk1"/>
              </a:solidFill>
              <a:effectLst/>
              <a:latin typeface="+mn-lt"/>
              <a:ea typeface="+mn-ea"/>
              <a:cs typeface="+mn-cs"/>
            </a:rPr>
            <a:t> Enter project length in miles.  For point location-based projects such as intersection improvements, interchange construction, highway or railroad grade 	separation projects please use the distance up to next intersection (on either side of the proposed project intersection) or 0.25 miles whichever is lesser in length. </a:t>
          </a:r>
        </a:p>
        <a:p>
          <a:r>
            <a:rPr lang="en-US" sz="1100" i="1">
              <a:solidFill>
                <a:schemeClr val="dk1"/>
              </a:solidFill>
              <a:effectLst/>
              <a:latin typeface="+mn-lt"/>
              <a:ea typeface="+mn-ea"/>
              <a:cs typeface="+mn-cs"/>
            </a:rPr>
            <a:t>	Project Id Number:</a:t>
          </a:r>
          <a:r>
            <a:rPr lang="en-US" sz="1100">
              <a:solidFill>
                <a:schemeClr val="dk1"/>
              </a:solidFill>
              <a:effectLst/>
              <a:latin typeface="+mn-lt"/>
              <a:ea typeface="+mn-ea"/>
              <a:cs typeface="+mn-cs"/>
            </a:rPr>
            <a:t> Please provide online project Id Number.</a:t>
          </a:r>
        </a:p>
        <a:p>
          <a:r>
            <a:rPr lang="en-US" sz="1100" i="1">
              <a:solidFill>
                <a:schemeClr val="dk1"/>
              </a:solidFill>
              <a:effectLst/>
              <a:latin typeface="+mn-lt"/>
              <a:ea typeface="+mn-ea"/>
              <a:cs typeface="+mn-cs"/>
            </a:rPr>
            <a:t>	CSJ Number/MPOID Number:</a:t>
          </a:r>
          <a:r>
            <a:rPr lang="en-US" sz="1100">
              <a:solidFill>
                <a:schemeClr val="dk1"/>
              </a:solidFill>
              <a:effectLst/>
              <a:latin typeface="+mn-lt"/>
              <a:ea typeface="+mn-ea"/>
              <a:cs typeface="+mn-cs"/>
            </a:rPr>
            <a:t> If the proposed project is listed in 2045 RTP or any previous RTPs please provide the MPOID number and CSJ number (if it exists).</a:t>
          </a:r>
        </a:p>
        <a:p>
          <a:r>
            <a:rPr lang="en-US" sz="1100">
              <a:solidFill>
                <a:schemeClr val="dk1"/>
              </a:solidFill>
              <a:effectLst/>
              <a:latin typeface="+mn-lt"/>
              <a:ea typeface="+mn-ea"/>
              <a:cs typeface="+mn-cs"/>
            </a:rPr>
            <a:t> </a:t>
          </a:r>
        </a:p>
        <a:p>
          <a:r>
            <a:rPr lang="en-US" sz="1100" i="1">
              <a:solidFill>
                <a:schemeClr val="dk1"/>
              </a:solidFill>
              <a:effectLst/>
              <a:latin typeface="+mn-lt"/>
              <a:ea typeface="+mn-ea"/>
              <a:cs typeface="+mn-cs"/>
            </a:rPr>
            <a:t> Proposed Improvement Information:</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	Year Open to Traffic Must be &gt;=2025:</a:t>
          </a:r>
          <a:r>
            <a:rPr lang="en-US" sz="1100">
              <a:solidFill>
                <a:schemeClr val="dk1"/>
              </a:solidFill>
              <a:effectLst/>
              <a:latin typeface="+mn-lt"/>
              <a:ea typeface="+mn-ea"/>
              <a:cs typeface="+mn-cs"/>
            </a:rPr>
            <a:t> Select the year Open to Traffic from the drop-down list.</a:t>
          </a:r>
        </a:p>
        <a:p>
          <a:r>
            <a:rPr lang="en-US" sz="1100" i="1">
              <a:solidFill>
                <a:schemeClr val="dk1"/>
              </a:solidFill>
              <a:effectLst/>
              <a:latin typeface="+mn-lt"/>
              <a:ea typeface="+mn-ea"/>
              <a:cs typeface="+mn-cs"/>
            </a:rPr>
            <a:t>	Type of Improvement:</a:t>
          </a:r>
          <a:r>
            <a:rPr lang="en-US" sz="1100">
              <a:solidFill>
                <a:schemeClr val="dk1"/>
              </a:solidFill>
              <a:effectLst/>
              <a:latin typeface="+mn-lt"/>
              <a:ea typeface="+mn-ea"/>
              <a:cs typeface="+mn-cs"/>
            </a:rPr>
            <a:t> Select up to 3 the proposed improvement type from the drop-down list. All improvement types are consistent with “Estimating Congestion Benefits 	of Transportation Projects with Fixit 2.0” (</a:t>
          </a:r>
          <a:r>
            <a:rPr lang="en-US" sz="1100" u="sng">
              <a:solidFill>
                <a:schemeClr val="dk1"/>
              </a:solidFill>
              <a:effectLst/>
              <a:latin typeface="+mn-lt"/>
              <a:ea typeface="+mn-ea"/>
              <a:cs typeface="+mn-cs"/>
              <a:hlinkClick xmlns:r="http://schemas.openxmlformats.org/officeDocument/2006/relationships" r:id=""/>
            </a:rPr>
            <a:t>https://policy.tti.tamu.edu/congestion/estimating-congestion-benefits-of-transportation-projects-with-fixit-2-0/</a:t>
          </a:r>
          <a:r>
            <a:rPr lang="en-US" sz="1100">
              <a:solidFill>
                <a:schemeClr val="dk1"/>
              </a:solidFill>
              <a:effectLst/>
              <a:latin typeface="+mn-lt"/>
              <a:ea typeface="+mn-ea"/>
              <a:cs typeface="+mn-cs"/>
            </a:rPr>
            <a:t>).  </a:t>
          </a:r>
        </a:p>
        <a:p>
          <a:r>
            <a:rPr lang="en-US" sz="1100" i="1">
              <a:solidFill>
                <a:schemeClr val="dk1"/>
              </a:solidFill>
              <a:effectLst/>
              <a:latin typeface="+mn-lt"/>
              <a:ea typeface="+mn-ea"/>
              <a:cs typeface="+mn-cs"/>
            </a:rPr>
            <a:t>	Estimated Delay Reduction Factor: </a:t>
          </a:r>
          <a:r>
            <a:rPr lang="en-US" sz="1100">
              <a:solidFill>
                <a:schemeClr val="dk1"/>
              </a:solidFill>
              <a:effectLst/>
              <a:latin typeface="+mn-lt"/>
              <a:ea typeface="+mn-ea"/>
              <a:cs typeface="+mn-cs"/>
            </a:rPr>
            <a:t>Estimated delay reduction factor associated with the improvement type will be populated based on the improvement type selected in 	cell C19. Delay reductions factors are listed in “Delay Reduction Factors” tab in the template.</a:t>
          </a:r>
        </a:p>
        <a:p>
          <a:r>
            <a:rPr lang="en-US" sz="1100" i="1">
              <a:solidFill>
                <a:schemeClr val="dk1"/>
              </a:solidFill>
              <a:effectLst/>
              <a:latin typeface="+mn-lt"/>
              <a:ea typeface="+mn-ea"/>
              <a:cs typeface="+mn-cs"/>
            </a:rPr>
            <a:t>	Service Life (Years):</a:t>
          </a:r>
          <a:r>
            <a:rPr lang="en-US" sz="1100">
              <a:solidFill>
                <a:schemeClr val="dk1"/>
              </a:solidFill>
              <a:effectLst/>
              <a:latin typeface="+mn-lt"/>
              <a:ea typeface="+mn-ea"/>
              <a:cs typeface="+mn-cs"/>
            </a:rPr>
            <a:t>  Enter the service life associated with the proposed improvement.</a:t>
          </a:r>
        </a:p>
        <a:p>
          <a:endParaRPr lang="en-US" sz="1100" i="1">
            <a:solidFill>
              <a:schemeClr val="dk1"/>
            </a:solidFill>
            <a:effectLst/>
            <a:latin typeface="+mn-lt"/>
            <a:ea typeface="+mn-ea"/>
            <a:cs typeface="+mn-cs"/>
          </a:endParaRPr>
        </a:p>
        <a:p>
          <a:r>
            <a:rPr lang="en-US" sz="1100" i="1">
              <a:solidFill>
                <a:schemeClr val="dk1"/>
              </a:solidFill>
              <a:effectLst/>
              <a:latin typeface="+mn-lt"/>
              <a:ea typeface="+mn-ea"/>
              <a:cs typeface="+mn-cs"/>
            </a:rPr>
            <a:t>Daily Travel Demand:</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	2022 Traffic Volume (AADT):</a:t>
          </a:r>
          <a:r>
            <a:rPr lang="en-US" sz="1100">
              <a:solidFill>
                <a:schemeClr val="dk1"/>
              </a:solidFill>
              <a:effectLst/>
              <a:latin typeface="+mn-lt"/>
              <a:ea typeface="+mn-ea"/>
              <a:cs typeface="+mn-cs"/>
            </a:rPr>
            <a:t> Sponsors may enter the AADT from latest traffic counts available form TxDOT’s traffic count data, or sponsors may choose to collect the traffic 	counts and enter collected traffic count data.</a:t>
          </a:r>
        </a:p>
        <a:p>
          <a:r>
            <a:rPr lang="en-US" sz="1100" i="1">
              <a:solidFill>
                <a:schemeClr val="dk1"/>
              </a:solidFill>
              <a:effectLst/>
              <a:latin typeface="+mn-lt"/>
              <a:ea typeface="+mn-ea"/>
              <a:cs typeface="+mn-cs"/>
            </a:rPr>
            <a:t>	2022 Peak Period Traffic Volume:</a:t>
          </a:r>
          <a:r>
            <a:rPr lang="en-US" sz="1100">
              <a:solidFill>
                <a:schemeClr val="dk1"/>
              </a:solidFill>
              <a:effectLst/>
              <a:latin typeface="+mn-lt"/>
              <a:ea typeface="+mn-ea"/>
              <a:cs typeface="+mn-cs"/>
            </a:rPr>
            <a:t> Please enter 2021 peak period traffic volume data (6AM – 9AM + 3PM – 7PM).  2021 peak period volume data (regional model data) 	provided by H-GAC upon sponsor’s request. </a:t>
          </a: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Vehicle Hours Traveled (VHT) Improvements:</a:t>
          </a:r>
        </a:p>
        <a:p>
          <a:r>
            <a:rPr lang="en-US" sz="1100" i="1">
              <a:solidFill>
                <a:schemeClr val="dk1"/>
              </a:solidFill>
              <a:effectLst/>
              <a:latin typeface="+mn-lt"/>
              <a:ea typeface="+mn-ea"/>
              <a:cs typeface="+mn-cs"/>
            </a:rPr>
            <a:t>	VHT Without Project</a:t>
          </a:r>
          <a:r>
            <a:rPr lang="en-US" sz="1100">
              <a:solidFill>
                <a:schemeClr val="dk1"/>
              </a:solidFill>
              <a:effectLst/>
              <a:latin typeface="+mn-lt"/>
              <a:ea typeface="+mn-ea"/>
              <a:cs typeface="+mn-cs"/>
            </a:rPr>
            <a:t>: VHT without project is calculated based on peak period volume in year open to traffic and estimated average peak travel time without project value 	calculated.</a:t>
          </a:r>
        </a:p>
        <a:p>
          <a:r>
            <a:rPr lang="en-US" sz="1100">
              <a:solidFill>
                <a:schemeClr val="dk1"/>
              </a:solidFill>
              <a:effectLst/>
              <a:latin typeface="+mn-lt"/>
              <a:ea typeface="+mn-ea"/>
              <a:cs typeface="+mn-cs"/>
            </a:rPr>
            <a:t>	VHT With Project: VHT with project is calculated based on peak period volume in year open to traffic and estimated average peak travel time with project value calculated.</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Results will be populated in "red" shaded section ("Benefit Results")</a:t>
          </a:r>
        </a:p>
        <a:p>
          <a:endParaRPr lang="en-US" sz="1100" b="1" baseline="0">
            <a:solidFill>
              <a:schemeClr val="bg1"/>
            </a:solidFill>
            <a:latin typeface="+mn-l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100854</xdr:colOff>
      <xdr:row>22</xdr:row>
      <xdr:rowOff>123265</xdr:rowOff>
    </xdr:from>
    <xdr:to>
      <xdr:col>5</xdr:col>
      <xdr:colOff>156884</xdr:colOff>
      <xdr:row>31</xdr:row>
      <xdr:rowOff>156882</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0854" y="4314265"/>
          <a:ext cx="7314080" cy="1748117"/>
        </a:xfrm>
        <a:prstGeom prst="rect">
          <a:avLst/>
        </a:prstGeom>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lang="en-US" sz="1100" b="1">
              <a:solidFill>
                <a:schemeClr val="bg1"/>
              </a:solidFill>
            </a:rPr>
            <a:t>Instructions: </a:t>
          </a:r>
        </a:p>
        <a:p>
          <a:r>
            <a:rPr lang="en-US" sz="1100" b="0">
              <a:solidFill>
                <a:schemeClr val="bg1"/>
              </a:solidFill>
            </a:rPr>
            <a:t>1. Fill in all "blue" shaded sections ("Project Information" and "Daily System/Facility</a:t>
          </a:r>
          <a:r>
            <a:rPr lang="en-US" sz="1100" b="0" baseline="0">
              <a:solidFill>
                <a:schemeClr val="bg1"/>
              </a:solidFill>
            </a:rPr>
            <a:t> Data"). Project costs should be expressed in </a:t>
          </a:r>
          <a:r>
            <a:rPr lang="en-US" sz="1100" b="0" u="sng" baseline="0">
              <a:solidFill>
                <a:schemeClr val="bg1"/>
              </a:solidFill>
            </a:rPr>
            <a:t>thousands</a:t>
          </a:r>
          <a:r>
            <a:rPr lang="en-US" sz="1100" b="0" baseline="0">
              <a:solidFill>
                <a:schemeClr val="bg1"/>
              </a:solidFill>
            </a:rPr>
            <a:t> of 2012 dollars.</a:t>
          </a:r>
        </a:p>
        <a:p>
          <a:endParaRPr lang="en-US" sz="1100" b="0" baseline="0">
            <a:solidFill>
              <a:schemeClr val="bg1"/>
            </a:solidFill>
          </a:endParaRPr>
        </a:p>
        <a:p>
          <a:r>
            <a:rPr lang="en-US" sz="1100" b="0" baseline="0">
              <a:solidFill>
                <a:schemeClr val="bg1"/>
              </a:solidFill>
            </a:rPr>
            <a:t>2. Results will be populated in "red" shaded section ("BCA Results")</a:t>
          </a:r>
        </a:p>
        <a:p>
          <a:endParaRPr lang="en-US" sz="1100" b="1" baseline="0">
            <a:solidFill>
              <a:schemeClr val="bg1"/>
            </a:solidFill>
          </a:endParaRPr>
        </a:p>
        <a:p>
          <a:r>
            <a:rPr lang="en-US" sz="1100" b="1" baseline="0">
              <a:solidFill>
                <a:schemeClr val="bg1"/>
              </a:solidFill>
            </a:rPr>
            <a:t>Note: Annual VHT Savings can be entered directly into the "purple" shaded cells to the right. In this case, please provide sufficient documentation of how the delay savings have been estimated, including baseline data and interim calculation documents (spreadsheets, etc.).</a:t>
          </a:r>
        </a:p>
        <a:p>
          <a:endParaRPr lang="en-US"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0</xdr:colOff>
          <xdr:row>6</xdr:row>
          <xdr:rowOff>7620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100854</xdr:colOff>
      <xdr:row>22</xdr:row>
      <xdr:rowOff>123265</xdr:rowOff>
    </xdr:from>
    <xdr:to>
      <xdr:col>5</xdr:col>
      <xdr:colOff>156884</xdr:colOff>
      <xdr:row>31</xdr:row>
      <xdr:rowOff>156882</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0854" y="4314265"/>
          <a:ext cx="7314080" cy="1748117"/>
        </a:xfrm>
        <a:prstGeom prst="rect">
          <a:avLst/>
        </a:prstGeom>
        <a:solidFill>
          <a:schemeClr val="accent2"/>
        </a:solidFill>
        <a:ln/>
      </xdr:spPr>
      <xdr:style>
        <a:lnRef idx="2">
          <a:schemeClr val="accent2"/>
        </a:lnRef>
        <a:fillRef idx="1">
          <a:schemeClr val="lt1"/>
        </a:fillRef>
        <a:effectRef idx="0">
          <a:schemeClr val="accent2"/>
        </a:effectRef>
        <a:fontRef idx="minor">
          <a:schemeClr val="dk1"/>
        </a:fontRef>
      </xdr:style>
      <xdr:txBody>
        <a:bodyPr vertOverflow="clip" wrap="square" rtlCol="0" anchor="t"/>
        <a:lstStyle/>
        <a:p>
          <a:r>
            <a:rPr lang="en-US" sz="1100" b="1">
              <a:solidFill>
                <a:schemeClr val="bg1"/>
              </a:solidFill>
            </a:rPr>
            <a:t>Instructions: </a:t>
          </a:r>
        </a:p>
        <a:p>
          <a:r>
            <a:rPr lang="en-US" sz="1100" b="0">
              <a:solidFill>
                <a:schemeClr val="bg1"/>
              </a:solidFill>
            </a:rPr>
            <a:t>1. Fill in all "blue" shaded sections ("Project Information" and "Emissions Reduction Estimates</a:t>
          </a:r>
          <a:r>
            <a:rPr lang="en-US" sz="1100" b="0" baseline="0">
              <a:solidFill>
                <a:schemeClr val="bg1"/>
              </a:solidFill>
            </a:rPr>
            <a:t>"). Project costs should be expressed in </a:t>
          </a:r>
          <a:r>
            <a:rPr lang="en-US" sz="1100" b="0" u="sng" baseline="0">
              <a:solidFill>
                <a:schemeClr val="bg1"/>
              </a:solidFill>
            </a:rPr>
            <a:t>thousands</a:t>
          </a:r>
          <a:r>
            <a:rPr lang="en-US" sz="1100" b="0" baseline="0">
              <a:solidFill>
                <a:schemeClr val="bg1"/>
              </a:solidFill>
            </a:rPr>
            <a:t> of 2012 dollars.</a:t>
          </a:r>
        </a:p>
        <a:p>
          <a:endParaRPr lang="en-US" sz="1100" b="0" baseline="0">
            <a:solidFill>
              <a:schemeClr val="bg1"/>
            </a:solidFill>
          </a:endParaRPr>
        </a:p>
        <a:p>
          <a:r>
            <a:rPr lang="en-US" sz="1100" b="0" baseline="0">
              <a:solidFill>
                <a:schemeClr val="bg1"/>
              </a:solidFill>
            </a:rPr>
            <a:t>2. Results will be populated in "red" shaded section ("BCA Results")</a:t>
          </a:r>
        </a:p>
        <a:p>
          <a:endParaRPr lang="en-US" sz="1100" b="1" baseline="0">
            <a:solidFill>
              <a:schemeClr val="bg1"/>
            </a:solidFill>
          </a:endParaRPr>
        </a:p>
        <a:p>
          <a:r>
            <a:rPr lang="en-US" sz="1100" b="1" baseline="0">
              <a:solidFill>
                <a:schemeClr val="bg1"/>
              </a:solidFill>
            </a:rPr>
            <a:t>Note: This sheet will take either an estimate of daily VMT reduced or annual metric tons of pollutant reduced. For projects where emissions reduction vary by year, formulas in the "purple" cells to the right may be overwritten. Emissions factors for bike/ped and LCI projects are provided, please contact H-GAC for assistance in identifing the appropriate emissions factors for other project types.</a:t>
          </a:r>
        </a:p>
        <a:p>
          <a:endParaRPr lang="en-US" sz="11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0</xdr:colOff>
          <xdr:row>6</xdr:row>
          <xdr:rowOff>7620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19288</xdr:colOff>
      <xdr:row>12</xdr:row>
      <xdr:rowOff>3094</xdr:rowOff>
    </xdr:from>
    <xdr:to>
      <xdr:col>3</xdr:col>
      <xdr:colOff>5953</xdr:colOff>
      <xdr:row>18</xdr:row>
      <xdr:rowOff>35718</xdr:rowOff>
    </xdr:to>
    <xdr:sp macro="" textlink="">
      <xdr:nvSpPr>
        <xdr:cNvPr id="4" name="TextBox 3">
          <a:hlinkClick xmlns:r="http://schemas.openxmlformats.org/officeDocument/2006/relationships" r:id="rId1"/>
          <a:extLst>
            <a:ext uri="{FF2B5EF4-FFF2-40B4-BE49-F238E27FC236}">
              <a16:creationId xmlns:a16="http://schemas.microsoft.com/office/drawing/2014/main" id="{00000000-0008-0000-0500-000004000000}"/>
            </a:ext>
          </a:extLst>
        </xdr:cNvPr>
        <xdr:cNvSpPr txBox="1"/>
      </xdr:nvSpPr>
      <xdr:spPr>
        <a:xfrm>
          <a:off x="257413" y="2146219"/>
          <a:ext cx="3957399" cy="11041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effectLst/>
              <a:latin typeface="+mn-lt"/>
              <a:ea typeface="+mn-ea"/>
              <a:cs typeface="+mn-cs"/>
            </a:rPr>
            <a:t>To the greatest extent possible, these values are taken from or consistent with the "Benefit-Cost Analysis Guidance for Discretionary Grant Programs" published by US DOT in December 2023. The full resource guide is available online at: https://www.transportation.gov/mission/office-secretary/office-policy/transportation-policy/benefit-cost-analysis-guidance.</a:t>
          </a:r>
          <a:endParaRPr lang="en-US" sz="1100" baseline="0">
            <a:effectLst/>
            <a:latin typeface="Calibri" panose="020F050202020403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fitToPage="1"/>
  </sheetPr>
  <dimension ref="A7"/>
  <sheetViews>
    <sheetView tabSelected="1" zoomScale="70" zoomScaleNormal="70" workbookViewId="0">
      <selection activeCell="D54" sqref="D54"/>
    </sheetView>
  </sheetViews>
  <sheetFormatPr defaultRowHeight="14.4" x14ac:dyDescent="0.3"/>
  <cols>
    <col min="1" max="1" width="45.109375" bestFit="1" customWidth="1"/>
    <col min="2" max="2" width="12.5546875" customWidth="1"/>
    <col min="3" max="3" width="5.33203125" customWidth="1"/>
    <col min="4" max="4" width="23.5546875" customWidth="1"/>
    <col min="5" max="5" width="15.33203125" bestFit="1" customWidth="1"/>
    <col min="6" max="6" width="13.33203125" customWidth="1"/>
    <col min="7" max="7" width="4.5546875" customWidth="1"/>
  </cols>
  <sheetData>
    <row r="7" spans="1:1" x14ac:dyDescent="0.3">
      <c r="A7" s="27"/>
    </row>
  </sheetData>
  <pageMargins left="0.25" right="0.25" top="0.75" bottom="0.75" header="0.3" footer="0.3"/>
  <pageSetup paperSize="17" fitToHeight="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pageSetUpPr fitToPage="1"/>
  </sheetPr>
  <dimension ref="A3:J53"/>
  <sheetViews>
    <sheetView zoomScale="85" zoomScaleNormal="85" workbookViewId="0">
      <selection activeCell="H1" sqref="H1:H1048576"/>
    </sheetView>
  </sheetViews>
  <sheetFormatPr defaultRowHeight="14.4" x14ac:dyDescent="0.3"/>
  <cols>
    <col min="1" max="1" width="38.88671875" customWidth="1"/>
    <col min="2" max="2" width="12.5546875" customWidth="1"/>
    <col min="3" max="3" width="5.33203125" customWidth="1"/>
    <col min="4" max="4" width="33.5546875" bestFit="1" customWidth="1"/>
    <col min="5" max="5" width="13.33203125" customWidth="1"/>
    <col min="6" max="6" width="4.5546875" customWidth="1"/>
    <col min="8" max="8" width="2.109375" hidden="1" customWidth="1"/>
    <col min="9" max="9" width="18.6640625" bestFit="1" customWidth="1"/>
    <col min="10" max="10" width="38.33203125" bestFit="1" customWidth="1"/>
  </cols>
  <sheetData>
    <row r="3" spans="1:10" x14ac:dyDescent="0.3">
      <c r="A3" s="9" t="s">
        <v>10</v>
      </c>
      <c r="D3" s="9" t="s">
        <v>30</v>
      </c>
      <c r="E3" s="10" t="s">
        <v>20</v>
      </c>
      <c r="G3" s="16" t="s">
        <v>24</v>
      </c>
      <c r="H3" s="16"/>
      <c r="I3" s="16" t="s">
        <v>31</v>
      </c>
      <c r="J3" s="16" t="s">
        <v>55</v>
      </c>
    </row>
    <row r="4" spans="1:10" x14ac:dyDescent="0.3">
      <c r="A4" s="7" t="s">
        <v>15</v>
      </c>
      <c r="B4" s="8"/>
      <c r="D4" s="7" t="s">
        <v>52</v>
      </c>
      <c r="E4" s="47">
        <v>2015</v>
      </c>
      <c r="G4" s="14">
        <f>E4</f>
        <v>2015</v>
      </c>
      <c r="H4" s="14">
        <f>IF(G4&lt;2041,1,0)</f>
        <v>1</v>
      </c>
      <c r="I4" s="23">
        <f>IF($G4&lt;($G$4+$E$5),$E$17,0)*H4</f>
        <v>0</v>
      </c>
      <c r="J4" s="36">
        <f>I4*$B$18*$B$19/10^3</f>
        <v>0</v>
      </c>
    </row>
    <row r="5" spans="1:10" x14ac:dyDescent="0.3">
      <c r="A5" s="7" t="s">
        <v>16</v>
      </c>
      <c r="B5" s="8"/>
      <c r="D5" s="7" t="s">
        <v>42</v>
      </c>
      <c r="E5" s="11">
        <v>10</v>
      </c>
      <c r="G5" s="15">
        <f t="shared" ref="G5:G29" si="0">G4+1</f>
        <v>2016</v>
      </c>
      <c r="H5" s="15">
        <f t="shared" ref="H5:H29" si="1">IF(G5&lt;2041,1,0)</f>
        <v>1</v>
      </c>
      <c r="I5" s="23">
        <f t="shared" ref="I5:I29" si="2">IF($G5&lt;($G$4+$E$5),$E$17,0)*H5</f>
        <v>0</v>
      </c>
      <c r="J5" s="43">
        <f t="shared" ref="J5:J24" si="3">I5*$B$18*$B$19/10^3</f>
        <v>0</v>
      </c>
    </row>
    <row r="6" spans="1:10" x14ac:dyDescent="0.3">
      <c r="A6" s="7" t="s">
        <v>17</v>
      </c>
      <c r="B6" s="8">
        <v>1</v>
      </c>
      <c r="D6" s="165" t="s">
        <v>40</v>
      </c>
      <c r="E6" s="166"/>
      <c r="G6" s="14">
        <f t="shared" si="0"/>
        <v>2017</v>
      </c>
      <c r="H6" s="14">
        <f t="shared" si="1"/>
        <v>1</v>
      </c>
      <c r="I6" s="23">
        <f t="shared" si="2"/>
        <v>0</v>
      </c>
      <c r="J6" s="36">
        <f t="shared" si="3"/>
        <v>0</v>
      </c>
    </row>
    <row r="7" spans="1:10" x14ac:dyDescent="0.3">
      <c r="A7" s="7" t="s">
        <v>53</v>
      </c>
      <c r="B7" s="25"/>
      <c r="D7" s="7" t="s">
        <v>50</v>
      </c>
      <c r="E7" s="11"/>
      <c r="G7" s="15">
        <f t="shared" si="0"/>
        <v>2018</v>
      </c>
      <c r="H7" s="15">
        <f t="shared" si="1"/>
        <v>1</v>
      </c>
      <c r="I7" s="23">
        <f t="shared" si="2"/>
        <v>0</v>
      </c>
      <c r="J7" s="43">
        <f t="shared" si="3"/>
        <v>0</v>
      </c>
    </row>
    <row r="8" spans="1:10" x14ac:dyDescent="0.3">
      <c r="A8" s="24" t="s">
        <v>54</v>
      </c>
      <c r="B8" s="25"/>
      <c r="D8" s="7" t="s">
        <v>48</v>
      </c>
      <c r="E8" s="46">
        <v>1.1499999999999999</v>
      </c>
      <c r="G8" s="14">
        <f t="shared" si="0"/>
        <v>2019</v>
      </c>
      <c r="H8" s="14">
        <f t="shared" si="1"/>
        <v>1</v>
      </c>
      <c r="I8" s="23">
        <f t="shared" si="2"/>
        <v>0</v>
      </c>
      <c r="J8" s="36">
        <f t="shared" si="3"/>
        <v>0</v>
      </c>
    </row>
    <row r="9" spans="1:10" x14ac:dyDescent="0.3">
      <c r="G9" s="15">
        <f t="shared" si="0"/>
        <v>2020</v>
      </c>
      <c r="H9" s="15">
        <f t="shared" si="1"/>
        <v>1</v>
      </c>
      <c r="I9" s="23">
        <f t="shared" si="2"/>
        <v>0</v>
      </c>
      <c r="J9" s="43">
        <f t="shared" si="3"/>
        <v>0</v>
      </c>
    </row>
    <row r="10" spans="1:10" x14ac:dyDescent="0.3">
      <c r="A10" s="13" t="s">
        <v>29</v>
      </c>
      <c r="G10" s="14">
        <f t="shared" si="0"/>
        <v>2021</v>
      </c>
      <c r="H10" s="14">
        <f t="shared" si="1"/>
        <v>1</v>
      </c>
      <c r="I10" s="23">
        <f t="shared" si="2"/>
        <v>0</v>
      </c>
      <c r="J10" s="36">
        <f t="shared" si="3"/>
        <v>0</v>
      </c>
    </row>
    <row r="11" spans="1:10" x14ac:dyDescent="0.3">
      <c r="A11" s="12" t="s">
        <v>51</v>
      </c>
      <c r="B11" s="44">
        <f>NPV($B$17,J4:J29)/(1+$B$17)^(E4-B16+1)</f>
        <v>0</v>
      </c>
      <c r="G11" s="15">
        <f t="shared" si="0"/>
        <v>2022</v>
      </c>
      <c r="H11" s="15">
        <f t="shared" si="1"/>
        <v>1</v>
      </c>
      <c r="I11" s="23">
        <f t="shared" si="2"/>
        <v>0</v>
      </c>
      <c r="J11" s="43">
        <f t="shared" si="3"/>
        <v>0</v>
      </c>
    </row>
    <row r="12" spans="1:10" x14ac:dyDescent="0.3">
      <c r="A12" s="12" t="s">
        <v>28</v>
      </c>
      <c r="B12" s="42" t="e">
        <f>B11/B7</f>
        <v>#DIV/0!</v>
      </c>
      <c r="G12" s="14">
        <f t="shared" si="0"/>
        <v>2023</v>
      </c>
      <c r="H12" s="14">
        <f t="shared" si="1"/>
        <v>1</v>
      </c>
      <c r="I12" s="23">
        <f t="shared" si="2"/>
        <v>0</v>
      </c>
      <c r="J12" s="36">
        <f t="shared" si="3"/>
        <v>0</v>
      </c>
    </row>
    <row r="13" spans="1:10" x14ac:dyDescent="0.3">
      <c r="G13" s="15">
        <f t="shared" si="0"/>
        <v>2024</v>
      </c>
      <c r="H13" s="15">
        <f t="shared" si="1"/>
        <v>1</v>
      </c>
      <c r="I13" s="23">
        <f t="shared" si="2"/>
        <v>0</v>
      </c>
      <c r="J13" s="43">
        <f t="shared" si="3"/>
        <v>0</v>
      </c>
    </row>
    <row r="14" spans="1:10" x14ac:dyDescent="0.3">
      <c r="G14" s="14">
        <f>G13+1</f>
        <v>2025</v>
      </c>
      <c r="H14" s="14">
        <f t="shared" si="1"/>
        <v>1</v>
      </c>
      <c r="I14" s="23">
        <f t="shared" si="2"/>
        <v>0</v>
      </c>
      <c r="J14" s="36">
        <f t="shared" si="3"/>
        <v>0</v>
      </c>
    </row>
    <row r="15" spans="1:10" x14ac:dyDescent="0.3">
      <c r="A15" s="17" t="s">
        <v>11</v>
      </c>
      <c r="G15" s="15">
        <f t="shared" si="0"/>
        <v>2026</v>
      </c>
      <c r="H15" s="15">
        <f t="shared" si="1"/>
        <v>1</v>
      </c>
      <c r="I15" s="23">
        <f t="shared" si="2"/>
        <v>0</v>
      </c>
      <c r="J15" s="43">
        <f t="shared" si="3"/>
        <v>0</v>
      </c>
    </row>
    <row r="16" spans="1:10" x14ac:dyDescent="0.3">
      <c r="A16" s="18" t="s">
        <v>12</v>
      </c>
      <c r="B16" s="28">
        <f>'Assumed Values'!C5</f>
        <v>2022</v>
      </c>
      <c r="D16" s="17" t="s">
        <v>26</v>
      </c>
      <c r="E16" s="26" t="s">
        <v>20</v>
      </c>
      <c r="G16" s="14">
        <f t="shared" si="0"/>
        <v>2027</v>
      </c>
      <c r="H16" s="14">
        <f t="shared" si="1"/>
        <v>1</v>
      </c>
      <c r="I16" s="23">
        <f t="shared" si="2"/>
        <v>0</v>
      </c>
      <c r="J16" s="36">
        <f t="shared" si="3"/>
        <v>0</v>
      </c>
    </row>
    <row r="17" spans="1:10" x14ac:dyDescent="0.3">
      <c r="A17" s="18" t="s">
        <v>13</v>
      </c>
      <c r="B17" s="19">
        <f>'Assumed Values'!C6</f>
        <v>3.1E-2</v>
      </c>
      <c r="D17" s="21" t="s">
        <v>49</v>
      </c>
      <c r="E17" s="22">
        <f>E7/E8</f>
        <v>0</v>
      </c>
      <c r="G17" s="15">
        <f t="shared" si="0"/>
        <v>2028</v>
      </c>
      <c r="H17" s="15">
        <f t="shared" si="1"/>
        <v>1</v>
      </c>
      <c r="I17" s="23">
        <f t="shared" si="2"/>
        <v>0</v>
      </c>
      <c r="J17" s="43">
        <f t="shared" si="3"/>
        <v>0</v>
      </c>
    </row>
    <row r="18" spans="1:10" x14ac:dyDescent="0.3">
      <c r="A18" s="18" t="s">
        <v>14</v>
      </c>
      <c r="B18" s="18">
        <f>IF(B6=2,2.1, 1.1)</f>
        <v>1.1000000000000001</v>
      </c>
      <c r="G18" s="14">
        <f t="shared" si="0"/>
        <v>2029</v>
      </c>
      <c r="H18" s="14">
        <f t="shared" si="1"/>
        <v>1</v>
      </c>
      <c r="I18" s="23">
        <f t="shared" si="2"/>
        <v>0</v>
      </c>
      <c r="J18" s="36">
        <f t="shared" si="3"/>
        <v>0</v>
      </c>
    </row>
    <row r="19" spans="1:10" x14ac:dyDescent="0.3">
      <c r="A19" s="18" t="s">
        <v>18</v>
      </c>
      <c r="B19" s="20">
        <f>'Assumed Values'!C9</f>
        <v>21.52</v>
      </c>
      <c r="G19" s="15">
        <f t="shared" si="0"/>
        <v>2030</v>
      </c>
      <c r="H19" s="15">
        <f t="shared" si="1"/>
        <v>1</v>
      </c>
      <c r="I19" s="23">
        <f t="shared" si="2"/>
        <v>0</v>
      </c>
      <c r="J19" s="43">
        <f t="shared" si="3"/>
        <v>0</v>
      </c>
    </row>
    <row r="20" spans="1:10" x14ac:dyDescent="0.3">
      <c r="A20" s="18" t="s">
        <v>27</v>
      </c>
      <c r="B20" s="18">
        <v>260</v>
      </c>
      <c r="G20" s="14">
        <f t="shared" si="0"/>
        <v>2031</v>
      </c>
      <c r="H20" s="14">
        <f t="shared" si="1"/>
        <v>1</v>
      </c>
      <c r="I20" s="23">
        <f t="shared" si="2"/>
        <v>0</v>
      </c>
      <c r="J20" s="36">
        <f t="shared" si="3"/>
        <v>0</v>
      </c>
    </row>
    <row r="21" spans="1:10" x14ac:dyDescent="0.3">
      <c r="G21" s="15">
        <f t="shared" si="0"/>
        <v>2032</v>
      </c>
      <c r="H21" s="15">
        <f t="shared" si="1"/>
        <v>1</v>
      </c>
      <c r="I21" s="23">
        <f t="shared" si="2"/>
        <v>0</v>
      </c>
      <c r="J21" s="43">
        <f t="shared" si="3"/>
        <v>0</v>
      </c>
    </row>
    <row r="22" spans="1:10" x14ac:dyDescent="0.3">
      <c r="G22" s="14">
        <f t="shared" si="0"/>
        <v>2033</v>
      </c>
      <c r="H22" s="14">
        <f t="shared" si="1"/>
        <v>1</v>
      </c>
      <c r="I22" s="23">
        <f t="shared" si="2"/>
        <v>0</v>
      </c>
      <c r="J22" s="36">
        <f t="shared" si="3"/>
        <v>0</v>
      </c>
    </row>
    <row r="23" spans="1:10" x14ac:dyDescent="0.3">
      <c r="G23" s="15">
        <f t="shared" si="0"/>
        <v>2034</v>
      </c>
      <c r="H23" s="15">
        <f t="shared" si="1"/>
        <v>1</v>
      </c>
      <c r="I23" s="23">
        <f t="shared" si="2"/>
        <v>0</v>
      </c>
      <c r="J23" s="43">
        <f t="shared" si="3"/>
        <v>0</v>
      </c>
    </row>
    <row r="24" spans="1:10" x14ac:dyDescent="0.3">
      <c r="G24" s="14">
        <f t="shared" si="0"/>
        <v>2035</v>
      </c>
      <c r="H24" s="14">
        <f t="shared" si="1"/>
        <v>1</v>
      </c>
      <c r="I24" s="23">
        <f t="shared" si="2"/>
        <v>0</v>
      </c>
      <c r="J24" s="36">
        <f t="shared" si="3"/>
        <v>0</v>
      </c>
    </row>
    <row r="25" spans="1:10" x14ac:dyDescent="0.3">
      <c r="G25" s="15">
        <f t="shared" si="0"/>
        <v>2036</v>
      </c>
      <c r="H25" s="15">
        <f t="shared" si="1"/>
        <v>1</v>
      </c>
      <c r="I25" s="23">
        <f t="shared" si="2"/>
        <v>0</v>
      </c>
      <c r="J25" s="43">
        <f t="shared" ref="J25:J29" si="4">I25*$B$18*$B$19/10^3</f>
        <v>0</v>
      </c>
    </row>
    <row r="26" spans="1:10" x14ac:dyDescent="0.3">
      <c r="G26" s="14">
        <f t="shared" si="0"/>
        <v>2037</v>
      </c>
      <c r="H26" s="14">
        <f t="shared" si="1"/>
        <v>1</v>
      </c>
      <c r="I26" s="23">
        <f t="shared" si="2"/>
        <v>0</v>
      </c>
      <c r="J26" s="36">
        <f t="shared" si="4"/>
        <v>0</v>
      </c>
    </row>
    <row r="27" spans="1:10" x14ac:dyDescent="0.3">
      <c r="G27" s="15">
        <f t="shared" si="0"/>
        <v>2038</v>
      </c>
      <c r="H27" s="15">
        <f t="shared" si="1"/>
        <v>1</v>
      </c>
      <c r="I27" s="23">
        <f t="shared" si="2"/>
        <v>0</v>
      </c>
      <c r="J27" s="43">
        <f t="shared" si="4"/>
        <v>0</v>
      </c>
    </row>
    <row r="28" spans="1:10" x14ac:dyDescent="0.3">
      <c r="G28" s="14">
        <f t="shared" si="0"/>
        <v>2039</v>
      </c>
      <c r="H28" s="14">
        <f t="shared" si="1"/>
        <v>1</v>
      </c>
      <c r="I28" s="23">
        <f t="shared" si="2"/>
        <v>0</v>
      </c>
      <c r="J28" s="36">
        <f t="shared" si="4"/>
        <v>0</v>
      </c>
    </row>
    <row r="29" spans="1:10" x14ac:dyDescent="0.3">
      <c r="A29" s="27"/>
      <c r="G29" s="15">
        <f t="shared" si="0"/>
        <v>2040</v>
      </c>
      <c r="H29" s="15">
        <f t="shared" si="1"/>
        <v>1</v>
      </c>
      <c r="I29" s="23">
        <f t="shared" si="2"/>
        <v>0</v>
      </c>
      <c r="J29" s="43">
        <f t="shared" si="4"/>
        <v>0</v>
      </c>
    </row>
    <row r="51" spans="1:1" x14ac:dyDescent="0.3">
      <c r="A51" t="s">
        <v>21</v>
      </c>
    </row>
    <row r="52" spans="1:1" x14ac:dyDescent="0.3">
      <c r="A52" s="6" t="s">
        <v>23</v>
      </c>
    </row>
    <row r="53" spans="1:1" x14ac:dyDescent="0.3">
      <c r="A53" s="6" t="s">
        <v>22</v>
      </c>
    </row>
  </sheetData>
  <mergeCells count="1">
    <mergeCell ref="D6:E6"/>
  </mergeCells>
  <pageMargins left="0.25" right="0.25" top="0.75" bottom="0.75" header="0.3" footer="0.3"/>
  <pageSetup paperSize="17"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1</xdr:col>
                    <xdr:colOff>0</xdr:colOff>
                    <xdr:row>5</xdr:row>
                    <xdr:rowOff>0</xdr:rowOff>
                  </from>
                  <to>
                    <xdr:col>2</xdr:col>
                    <xdr:colOff>0</xdr:colOff>
                    <xdr:row>6</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pageSetUpPr fitToPage="1"/>
  </sheetPr>
  <dimension ref="A3:K55"/>
  <sheetViews>
    <sheetView zoomScale="85" zoomScaleNormal="85" workbookViewId="0">
      <selection activeCell="H1" sqref="H1:H1048576"/>
    </sheetView>
  </sheetViews>
  <sheetFormatPr defaultRowHeight="14.4" x14ac:dyDescent="0.3"/>
  <cols>
    <col min="1" max="1" width="54.33203125" customWidth="1"/>
    <col min="2" max="2" width="12.5546875" customWidth="1"/>
    <col min="3" max="3" width="5.33203125" customWidth="1"/>
    <col min="4" max="4" width="37.44140625" bestFit="1" customWidth="1"/>
    <col min="5" max="5" width="13.33203125" customWidth="1"/>
    <col min="6" max="6" width="4.5546875" customWidth="1"/>
    <col min="8" max="8" width="26.44140625" bestFit="1" customWidth="1"/>
    <col min="9" max="9" width="34.5546875" bestFit="1" customWidth="1"/>
    <col min="10" max="10" width="24.109375" bestFit="1" customWidth="1"/>
    <col min="11" max="11" width="33.44140625" bestFit="1" customWidth="1"/>
  </cols>
  <sheetData>
    <row r="3" spans="1:11" x14ac:dyDescent="0.3">
      <c r="A3" s="9" t="s">
        <v>10</v>
      </c>
      <c r="D3" s="9" t="s">
        <v>38</v>
      </c>
      <c r="E3" s="10" t="s">
        <v>20</v>
      </c>
      <c r="G3" s="16" t="s">
        <v>24</v>
      </c>
      <c r="H3" s="16" t="s">
        <v>47</v>
      </c>
      <c r="I3" s="16" t="s">
        <v>58</v>
      </c>
      <c r="J3" s="16" t="s">
        <v>46</v>
      </c>
      <c r="K3" s="16" t="s">
        <v>59</v>
      </c>
    </row>
    <row r="4" spans="1:11" x14ac:dyDescent="0.3">
      <c r="A4" s="7" t="s">
        <v>15</v>
      </c>
      <c r="B4" s="8"/>
      <c r="D4" s="7" t="s">
        <v>52</v>
      </c>
      <c r="E4" s="47">
        <v>2015</v>
      </c>
      <c r="G4" s="14">
        <f>E4</f>
        <v>2015</v>
      </c>
      <c r="H4" s="39" t="e">
        <f t="shared" ref="H4:H24" si="0">IF($G4&lt;($G$4+$E$5),$E$17,0)</f>
        <v>#REF!</v>
      </c>
      <c r="I4" s="38" t="e">
        <f>H4*$B$20/10^3</f>
        <v>#REF!</v>
      </c>
      <c r="J4" s="39" t="e">
        <f t="shared" ref="J4:J24" si="1">IF($G4&lt;($G$4+$E$5),$E$18,0)</f>
        <v>#REF!</v>
      </c>
      <c r="K4" s="38" t="e">
        <f>J4*$B$21/10^3</f>
        <v>#REF!</v>
      </c>
    </row>
    <row r="5" spans="1:11" x14ac:dyDescent="0.3">
      <c r="A5" s="7" t="s">
        <v>16</v>
      </c>
      <c r="B5" s="8"/>
      <c r="D5" s="7" t="s">
        <v>42</v>
      </c>
      <c r="E5" s="11">
        <v>10</v>
      </c>
      <c r="G5" s="15">
        <f t="shared" ref="G5:G29" si="2">G4+1</f>
        <v>2016</v>
      </c>
      <c r="H5" s="39" t="e">
        <f t="shared" si="0"/>
        <v>#REF!</v>
      </c>
      <c r="I5" s="40" t="e">
        <f t="shared" ref="I5:I24" si="3">H5*$B$20/10^3</f>
        <v>#REF!</v>
      </c>
      <c r="J5" s="39" t="e">
        <f t="shared" si="1"/>
        <v>#REF!</v>
      </c>
      <c r="K5" s="40" t="e">
        <f t="shared" ref="K5:K24" si="4">J5*$B$21/10^3</f>
        <v>#REF!</v>
      </c>
    </row>
    <row r="6" spans="1:11" x14ac:dyDescent="0.3">
      <c r="A6" s="7" t="s">
        <v>43</v>
      </c>
      <c r="B6" s="8">
        <v>2</v>
      </c>
      <c r="D6" s="165" t="s">
        <v>40</v>
      </c>
      <c r="E6" s="166"/>
      <c r="G6" s="14">
        <f t="shared" si="2"/>
        <v>2017</v>
      </c>
      <c r="H6" s="39" t="e">
        <f t="shared" si="0"/>
        <v>#REF!</v>
      </c>
      <c r="I6" s="38" t="e">
        <f t="shared" si="3"/>
        <v>#REF!</v>
      </c>
      <c r="J6" s="39" t="e">
        <f t="shared" si="1"/>
        <v>#REF!</v>
      </c>
      <c r="K6" s="38" t="e">
        <f t="shared" si="4"/>
        <v>#REF!</v>
      </c>
    </row>
    <row r="7" spans="1:11" x14ac:dyDescent="0.3">
      <c r="A7" s="7" t="s">
        <v>53</v>
      </c>
      <c r="B7" s="25"/>
      <c r="D7" s="7" t="s">
        <v>39</v>
      </c>
      <c r="E7" s="11"/>
      <c r="G7" s="15">
        <f t="shared" si="2"/>
        <v>2018</v>
      </c>
      <c r="H7" s="39" t="e">
        <f t="shared" si="0"/>
        <v>#REF!</v>
      </c>
      <c r="I7" s="40" t="e">
        <f t="shared" si="3"/>
        <v>#REF!</v>
      </c>
      <c r="J7" s="39" t="e">
        <f t="shared" si="1"/>
        <v>#REF!</v>
      </c>
      <c r="K7" s="40" t="e">
        <f t="shared" si="4"/>
        <v>#REF!</v>
      </c>
    </row>
    <row r="8" spans="1:11" x14ac:dyDescent="0.3">
      <c r="A8" s="24" t="s">
        <v>54</v>
      </c>
      <c r="B8" s="25"/>
      <c r="D8" s="165" t="s">
        <v>41</v>
      </c>
      <c r="E8" s="166"/>
      <c r="G8" s="14">
        <f t="shared" si="2"/>
        <v>2019</v>
      </c>
      <c r="H8" s="39" t="e">
        <f t="shared" si="0"/>
        <v>#REF!</v>
      </c>
      <c r="I8" s="38" t="e">
        <f t="shared" si="3"/>
        <v>#REF!</v>
      </c>
      <c r="J8" s="39" t="e">
        <f t="shared" si="1"/>
        <v>#REF!</v>
      </c>
      <c r="K8" s="38" t="e">
        <f t="shared" si="4"/>
        <v>#REF!</v>
      </c>
    </row>
    <row r="9" spans="1:11" x14ac:dyDescent="0.3">
      <c r="D9" s="7" t="s">
        <v>44</v>
      </c>
      <c r="E9" s="11"/>
      <c r="G9" s="15">
        <f t="shared" si="2"/>
        <v>2020</v>
      </c>
      <c r="H9" s="39" t="e">
        <f t="shared" si="0"/>
        <v>#REF!</v>
      </c>
      <c r="I9" s="40" t="e">
        <f t="shared" si="3"/>
        <v>#REF!</v>
      </c>
      <c r="J9" s="39" t="e">
        <f t="shared" si="1"/>
        <v>#REF!</v>
      </c>
      <c r="K9" s="40" t="e">
        <f t="shared" si="4"/>
        <v>#REF!</v>
      </c>
    </row>
    <row r="10" spans="1:11" x14ac:dyDescent="0.3">
      <c r="A10" s="13" t="s">
        <v>29</v>
      </c>
      <c r="D10" s="7" t="s">
        <v>45</v>
      </c>
      <c r="E10" s="11"/>
      <c r="G10" s="14">
        <f t="shared" si="2"/>
        <v>2021</v>
      </c>
      <c r="H10" s="39" t="e">
        <f t="shared" si="0"/>
        <v>#REF!</v>
      </c>
      <c r="I10" s="38" t="e">
        <f t="shared" si="3"/>
        <v>#REF!</v>
      </c>
      <c r="J10" s="39" t="e">
        <f t="shared" si="1"/>
        <v>#REF!</v>
      </c>
      <c r="K10" s="38" t="e">
        <f t="shared" si="4"/>
        <v>#REF!</v>
      </c>
    </row>
    <row r="11" spans="1:11" x14ac:dyDescent="0.3">
      <c r="A11" s="12" t="s">
        <v>60</v>
      </c>
      <c r="B11" s="41" t="e">
        <f>(NPV($B$17,K4:K24)+NPV($B$17,I4:I24))/(1+$B$17)^2</f>
        <v>#REF!</v>
      </c>
      <c r="G11" s="15">
        <f t="shared" si="2"/>
        <v>2022</v>
      </c>
      <c r="H11" s="39" t="e">
        <f t="shared" si="0"/>
        <v>#REF!</v>
      </c>
      <c r="I11" s="40" t="e">
        <f t="shared" si="3"/>
        <v>#REF!</v>
      </c>
      <c r="J11" s="39" t="e">
        <f t="shared" si="1"/>
        <v>#REF!</v>
      </c>
      <c r="K11" s="40" t="e">
        <f t="shared" si="4"/>
        <v>#REF!</v>
      </c>
    </row>
    <row r="12" spans="1:11" x14ac:dyDescent="0.3">
      <c r="A12" s="12" t="s">
        <v>28</v>
      </c>
      <c r="B12" s="42" t="e">
        <f>B11/B7</f>
        <v>#REF!</v>
      </c>
      <c r="G12" s="14">
        <f t="shared" si="2"/>
        <v>2023</v>
      </c>
      <c r="H12" s="39" t="e">
        <f t="shared" si="0"/>
        <v>#REF!</v>
      </c>
      <c r="I12" s="38" t="e">
        <f t="shared" si="3"/>
        <v>#REF!</v>
      </c>
      <c r="J12" s="39" t="e">
        <f t="shared" si="1"/>
        <v>#REF!</v>
      </c>
      <c r="K12" s="38" t="e">
        <f t="shared" si="4"/>
        <v>#REF!</v>
      </c>
    </row>
    <row r="13" spans="1:11" x14ac:dyDescent="0.3">
      <c r="A13" s="12" t="s">
        <v>61</v>
      </c>
      <c r="B13" s="41" t="e">
        <f>B7*(B17/(1-(1+B17)^(-E5))/(SUM(H4:H29)+SUM(J4:J29)))</f>
        <v>#REF!</v>
      </c>
      <c r="G13" s="15">
        <f t="shared" si="2"/>
        <v>2024</v>
      </c>
      <c r="H13" s="39" t="e">
        <f t="shared" si="0"/>
        <v>#REF!</v>
      </c>
      <c r="I13" s="40" t="e">
        <f t="shared" si="3"/>
        <v>#REF!</v>
      </c>
      <c r="J13" s="39" t="e">
        <f t="shared" si="1"/>
        <v>#REF!</v>
      </c>
      <c r="K13" s="40" t="e">
        <f t="shared" si="4"/>
        <v>#REF!</v>
      </c>
    </row>
    <row r="14" spans="1:11" x14ac:dyDescent="0.3">
      <c r="G14" s="14">
        <f>G13+1</f>
        <v>2025</v>
      </c>
      <c r="H14" s="39">
        <f t="shared" si="0"/>
        <v>0</v>
      </c>
      <c r="I14" s="38" t="e">
        <f t="shared" si="3"/>
        <v>#REF!</v>
      </c>
      <c r="J14" s="39">
        <f t="shared" si="1"/>
        <v>0</v>
      </c>
      <c r="K14" s="38" t="e">
        <f t="shared" si="4"/>
        <v>#REF!</v>
      </c>
    </row>
    <row r="15" spans="1:11" x14ac:dyDescent="0.3">
      <c r="A15" s="17" t="s">
        <v>11</v>
      </c>
      <c r="G15" s="15">
        <f t="shared" si="2"/>
        <v>2026</v>
      </c>
      <c r="H15" s="39">
        <f t="shared" si="0"/>
        <v>0</v>
      </c>
      <c r="I15" s="40" t="e">
        <f t="shared" si="3"/>
        <v>#REF!</v>
      </c>
      <c r="J15" s="39">
        <f t="shared" si="1"/>
        <v>0</v>
      </c>
      <c r="K15" s="40" t="e">
        <f t="shared" si="4"/>
        <v>#REF!</v>
      </c>
    </row>
    <row r="16" spans="1:11" x14ac:dyDescent="0.3">
      <c r="A16" s="18" t="s">
        <v>12</v>
      </c>
      <c r="B16" s="28">
        <v>2015</v>
      </c>
      <c r="D16" s="17" t="s">
        <v>26</v>
      </c>
      <c r="E16" s="26" t="s">
        <v>20</v>
      </c>
      <c r="G16" s="14">
        <f t="shared" si="2"/>
        <v>2027</v>
      </c>
      <c r="H16" s="39">
        <f t="shared" si="0"/>
        <v>0</v>
      </c>
      <c r="I16" s="38" t="e">
        <f t="shared" si="3"/>
        <v>#REF!</v>
      </c>
      <c r="J16" s="39">
        <f t="shared" si="1"/>
        <v>0</v>
      </c>
      <c r="K16" s="38" t="e">
        <f t="shared" si="4"/>
        <v>#REF!</v>
      </c>
    </row>
    <row r="17" spans="1:11" x14ac:dyDescent="0.3">
      <c r="A17" s="18" t="s">
        <v>13</v>
      </c>
      <c r="B17" s="19">
        <v>7.0000000000000007E-2</v>
      </c>
      <c r="D17" s="21" t="s">
        <v>44</v>
      </c>
      <c r="E17" s="35" t="e">
        <f>IF(E9,E9,$E$7*B18*$B$22/10^6)</f>
        <v>#REF!</v>
      </c>
      <c r="G17" s="15">
        <f t="shared" si="2"/>
        <v>2028</v>
      </c>
      <c r="H17" s="39">
        <f t="shared" si="0"/>
        <v>0</v>
      </c>
      <c r="I17" s="40" t="e">
        <f t="shared" si="3"/>
        <v>#REF!</v>
      </c>
      <c r="J17" s="39">
        <f t="shared" si="1"/>
        <v>0</v>
      </c>
      <c r="K17" s="40" t="e">
        <f t="shared" si="4"/>
        <v>#REF!</v>
      </c>
    </row>
    <row r="18" spans="1:11" x14ac:dyDescent="0.3">
      <c r="A18" s="18" t="s">
        <v>36</v>
      </c>
      <c r="B18" s="45" t="e">
        <f>IF($B$6=2,'Assumed Values'!#REF!,0)</f>
        <v>#REF!</v>
      </c>
      <c r="D18" s="21" t="s">
        <v>45</v>
      </c>
      <c r="E18" s="35" t="e">
        <f>IF(E10,E10,$E$7*B19*$B$22/10^6)</f>
        <v>#REF!</v>
      </c>
      <c r="G18" s="14">
        <f t="shared" si="2"/>
        <v>2029</v>
      </c>
      <c r="H18" s="39">
        <f t="shared" si="0"/>
        <v>0</v>
      </c>
      <c r="I18" s="38" t="e">
        <f t="shared" si="3"/>
        <v>#REF!</v>
      </c>
      <c r="J18" s="39">
        <f t="shared" si="1"/>
        <v>0</v>
      </c>
      <c r="K18" s="38" t="e">
        <f t="shared" si="4"/>
        <v>#REF!</v>
      </c>
    </row>
    <row r="19" spans="1:11" x14ac:dyDescent="0.3">
      <c r="A19" s="18" t="s">
        <v>37</v>
      </c>
      <c r="B19" s="45" t="e">
        <f>IF($B$6=2,'Assumed Values'!#REF!,0)</f>
        <v>#REF!</v>
      </c>
      <c r="G19" s="15">
        <f t="shared" si="2"/>
        <v>2030</v>
      </c>
      <c r="H19" s="39">
        <f t="shared" si="0"/>
        <v>0</v>
      </c>
      <c r="I19" s="40" t="e">
        <f t="shared" si="3"/>
        <v>#REF!</v>
      </c>
      <c r="J19" s="39">
        <f t="shared" si="1"/>
        <v>0</v>
      </c>
      <c r="K19" s="40" t="e">
        <f t="shared" si="4"/>
        <v>#REF!</v>
      </c>
    </row>
    <row r="20" spans="1:11" x14ac:dyDescent="0.3">
      <c r="A20" s="18" t="s">
        <v>62</v>
      </c>
      <c r="B20" s="37" t="e">
        <f>'Assumed Values'!#REF!</f>
        <v>#REF!</v>
      </c>
      <c r="G20" s="14">
        <f t="shared" si="2"/>
        <v>2031</v>
      </c>
      <c r="H20" s="39">
        <f t="shared" si="0"/>
        <v>0</v>
      </c>
      <c r="I20" s="38" t="e">
        <f t="shared" si="3"/>
        <v>#REF!</v>
      </c>
      <c r="J20" s="39">
        <f t="shared" si="1"/>
        <v>0</v>
      </c>
      <c r="K20" s="38" t="e">
        <f t="shared" si="4"/>
        <v>#REF!</v>
      </c>
    </row>
    <row r="21" spans="1:11" x14ac:dyDescent="0.3">
      <c r="A21" s="18" t="s">
        <v>63</v>
      </c>
      <c r="B21" s="37" t="e">
        <f>'Assumed Values'!#REF!</f>
        <v>#REF!</v>
      </c>
      <c r="G21" s="15">
        <f t="shared" si="2"/>
        <v>2032</v>
      </c>
      <c r="H21" s="39">
        <f t="shared" si="0"/>
        <v>0</v>
      </c>
      <c r="I21" s="40" t="e">
        <f t="shared" si="3"/>
        <v>#REF!</v>
      </c>
      <c r="J21" s="39">
        <f t="shared" si="1"/>
        <v>0</v>
      </c>
      <c r="K21" s="40" t="e">
        <f t="shared" si="4"/>
        <v>#REF!</v>
      </c>
    </row>
    <row r="22" spans="1:11" x14ac:dyDescent="0.3">
      <c r="A22" s="18" t="s">
        <v>27</v>
      </c>
      <c r="B22" s="18">
        <v>260</v>
      </c>
      <c r="G22" s="14">
        <f t="shared" si="2"/>
        <v>2033</v>
      </c>
      <c r="H22" s="39">
        <f t="shared" si="0"/>
        <v>0</v>
      </c>
      <c r="I22" s="38" t="e">
        <f t="shared" si="3"/>
        <v>#REF!</v>
      </c>
      <c r="J22" s="39">
        <f t="shared" si="1"/>
        <v>0</v>
      </c>
      <c r="K22" s="38" t="e">
        <f t="shared" si="4"/>
        <v>#REF!</v>
      </c>
    </row>
    <row r="23" spans="1:11" x14ac:dyDescent="0.3">
      <c r="G23" s="15">
        <f t="shared" si="2"/>
        <v>2034</v>
      </c>
      <c r="H23" s="39">
        <f t="shared" si="0"/>
        <v>0</v>
      </c>
      <c r="I23" s="40" t="e">
        <f t="shared" si="3"/>
        <v>#REF!</v>
      </c>
      <c r="J23" s="39">
        <f t="shared" si="1"/>
        <v>0</v>
      </c>
      <c r="K23" s="40" t="e">
        <f t="shared" si="4"/>
        <v>#REF!</v>
      </c>
    </row>
    <row r="24" spans="1:11" x14ac:dyDescent="0.3">
      <c r="G24" s="14">
        <f t="shared" si="2"/>
        <v>2035</v>
      </c>
      <c r="H24" s="39">
        <f t="shared" si="0"/>
        <v>0</v>
      </c>
      <c r="I24" s="38" t="e">
        <f t="shared" si="3"/>
        <v>#REF!</v>
      </c>
      <c r="J24" s="39">
        <f t="shared" si="1"/>
        <v>0</v>
      </c>
      <c r="K24" s="38" t="e">
        <f t="shared" si="4"/>
        <v>#REF!</v>
      </c>
    </row>
    <row r="25" spans="1:11" x14ac:dyDescent="0.3">
      <c r="G25" s="15">
        <f t="shared" si="2"/>
        <v>2036</v>
      </c>
      <c r="H25" s="39">
        <f t="shared" ref="H25:H28" si="5">IF($G25&lt;($G$4+$E$5),$E$17,0)</f>
        <v>0</v>
      </c>
      <c r="I25" s="40" t="e">
        <f t="shared" ref="I25:I29" si="6">H25*$B$20/10^3</f>
        <v>#REF!</v>
      </c>
      <c r="J25" s="39">
        <f t="shared" ref="J25:J28" si="7">IF($G25&lt;($G$4+$E$5),$E$18,0)</f>
        <v>0</v>
      </c>
      <c r="K25" s="40" t="e">
        <f t="shared" ref="K25:K29" si="8">J25*$B$21/10^3</f>
        <v>#REF!</v>
      </c>
    </row>
    <row r="26" spans="1:11" x14ac:dyDescent="0.3">
      <c r="G26" s="14">
        <f t="shared" si="2"/>
        <v>2037</v>
      </c>
      <c r="H26" s="39">
        <f t="shared" si="5"/>
        <v>0</v>
      </c>
      <c r="I26" s="38" t="e">
        <f t="shared" si="6"/>
        <v>#REF!</v>
      </c>
      <c r="J26" s="39">
        <f t="shared" si="7"/>
        <v>0</v>
      </c>
      <c r="K26" s="38" t="e">
        <f t="shared" si="8"/>
        <v>#REF!</v>
      </c>
    </row>
    <row r="27" spans="1:11" x14ac:dyDescent="0.3">
      <c r="G27" s="15">
        <f t="shared" si="2"/>
        <v>2038</v>
      </c>
      <c r="H27" s="39">
        <f t="shared" si="5"/>
        <v>0</v>
      </c>
      <c r="I27" s="40" t="e">
        <f t="shared" si="6"/>
        <v>#REF!</v>
      </c>
      <c r="J27" s="39">
        <f t="shared" si="7"/>
        <v>0</v>
      </c>
      <c r="K27" s="40" t="e">
        <f t="shared" si="8"/>
        <v>#REF!</v>
      </c>
    </row>
    <row r="28" spans="1:11" x14ac:dyDescent="0.3">
      <c r="G28" s="14">
        <f t="shared" si="2"/>
        <v>2039</v>
      </c>
      <c r="H28" s="39">
        <f t="shared" si="5"/>
        <v>0</v>
      </c>
      <c r="I28" s="38" t="e">
        <f t="shared" si="6"/>
        <v>#REF!</v>
      </c>
      <c r="J28" s="39">
        <f t="shared" si="7"/>
        <v>0</v>
      </c>
      <c r="K28" s="38" t="e">
        <f t="shared" si="8"/>
        <v>#REF!</v>
      </c>
    </row>
    <row r="29" spans="1:11" x14ac:dyDescent="0.3">
      <c r="G29" s="15">
        <f t="shared" si="2"/>
        <v>2040</v>
      </c>
      <c r="H29" s="39">
        <f>IF($G29&lt;($G$4+$E$5),$E$17,0)</f>
        <v>0</v>
      </c>
      <c r="I29" s="40" t="e">
        <f t="shared" si="6"/>
        <v>#REF!</v>
      </c>
      <c r="J29" s="39">
        <f>IF($G29&lt;($G$4+$E$5),$E$18,0)</f>
        <v>0</v>
      </c>
      <c r="K29" s="40" t="e">
        <f t="shared" si="8"/>
        <v>#REF!</v>
      </c>
    </row>
    <row r="31" spans="1:11" x14ac:dyDescent="0.3">
      <c r="A31" s="27"/>
    </row>
    <row r="53" spans="1:1" x14ac:dyDescent="0.3">
      <c r="A53" t="s">
        <v>21</v>
      </c>
    </row>
    <row r="54" spans="1:1" x14ac:dyDescent="0.3">
      <c r="A54" s="6" t="s">
        <v>23</v>
      </c>
    </row>
    <row r="55" spans="1:1" x14ac:dyDescent="0.3">
      <c r="A55" s="6" t="s">
        <v>22</v>
      </c>
    </row>
  </sheetData>
  <mergeCells count="2">
    <mergeCell ref="D6:E6"/>
    <mergeCell ref="D8:E8"/>
  </mergeCells>
  <conditionalFormatting sqref="B18:B19">
    <cfRule type="cellIs" dxfId="0" priority="1" operator="equal">
      <formula>0</formula>
    </cfRule>
  </conditionalFormatting>
  <pageMargins left="0.25" right="0.25" top="0.75" bottom="0.75" header="0.3" footer="0.3"/>
  <pageSetup paperSize="17" scale="8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1</xdr:col>
                    <xdr:colOff>0</xdr:colOff>
                    <xdr:row>5</xdr:row>
                    <xdr:rowOff>0</xdr:rowOff>
                  </from>
                  <to>
                    <xdr:col>2</xdr:col>
                    <xdr:colOff>0</xdr:colOff>
                    <xdr:row>6</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pageSetUpPr fitToPage="1"/>
  </sheetPr>
  <dimension ref="B1:I43"/>
  <sheetViews>
    <sheetView topLeftCell="A13" zoomScaleNormal="100" workbookViewId="0">
      <selection activeCell="C19" sqref="C19"/>
    </sheetView>
  </sheetViews>
  <sheetFormatPr defaultColWidth="9.109375" defaultRowHeight="14.4" x14ac:dyDescent="0.3"/>
  <cols>
    <col min="1" max="1" width="9.109375" style="90"/>
    <col min="2" max="2" width="45.109375" style="90" bestFit="1" customWidth="1"/>
    <col min="3" max="3" width="16.44140625" style="89" customWidth="1"/>
    <col min="4" max="4" width="5.33203125" style="90" customWidth="1"/>
    <col min="5" max="5" width="5.109375" style="90" customWidth="1"/>
    <col min="6" max="6" width="36" style="90" customWidth="1"/>
    <col min="7" max="7" width="15.33203125" style="90" bestFit="1" customWidth="1"/>
    <col min="8" max="8" width="18.109375" style="90" bestFit="1" customWidth="1"/>
    <col min="9" max="9" width="28.109375" style="90" customWidth="1"/>
    <col min="10" max="10" width="15.109375" style="90" customWidth="1"/>
    <col min="11" max="16384" width="9.109375" style="90"/>
  </cols>
  <sheetData>
    <row r="1" spans="2:8" x14ac:dyDescent="0.3">
      <c r="B1" s="88" t="s">
        <v>202</v>
      </c>
    </row>
    <row r="2" spans="2:8" ht="18" x14ac:dyDescent="0.3">
      <c r="B2" s="91" t="s">
        <v>72</v>
      </c>
      <c r="C2" s="92"/>
      <c r="D2" s="93"/>
      <c r="E2" s="93"/>
      <c r="F2" s="93"/>
      <c r="G2" s="94"/>
    </row>
    <row r="3" spans="2:8" x14ac:dyDescent="0.3">
      <c r="G3" s="95"/>
      <c r="H3" s="95"/>
    </row>
    <row r="4" spans="2:8" x14ac:dyDescent="0.3">
      <c r="B4" s="167" t="s">
        <v>201</v>
      </c>
      <c r="C4" s="168"/>
    </row>
    <row r="5" spans="2:8" x14ac:dyDescent="0.3">
      <c r="B5" s="96" t="s">
        <v>77</v>
      </c>
      <c r="C5" s="86"/>
      <c r="E5" s="96"/>
      <c r="F5" s="90" t="s">
        <v>161</v>
      </c>
    </row>
    <row r="6" spans="2:8" x14ac:dyDescent="0.3">
      <c r="B6" s="96" t="s">
        <v>78</v>
      </c>
      <c r="C6" s="97" t="s">
        <v>172</v>
      </c>
      <c r="E6" s="79"/>
      <c r="F6" s="90" t="s">
        <v>183</v>
      </c>
    </row>
    <row r="7" spans="2:8" x14ac:dyDescent="0.3">
      <c r="B7" s="96" t="s">
        <v>79</v>
      </c>
      <c r="C7" s="97" t="s">
        <v>178</v>
      </c>
      <c r="E7" s="155"/>
      <c r="F7" s="90" t="s">
        <v>162</v>
      </c>
    </row>
    <row r="8" spans="2:8" x14ac:dyDescent="0.3">
      <c r="B8" s="96" t="s">
        <v>191</v>
      </c>
      <c r="C8" s="97" t="s">
        <v>196</v>
      </c>
    </row>
    <row r="9" spans="2:8" x14ac:dyDescent="0.3">
      <c r="B9" s="96" t="s">
        <v>199</v>
      </c>
      <c r="C9" s="97"/>
    </row>
    <row r="10" spans="2:8" x14ac:dyDescent="0.3">
      <c r="B10" s="96" t="s">
        <v>80</v>
      </c>
      <c r="C10" s="97"/>
    </row>
    <row r="11" spans="2:8" x14ac:dyDescent="0.3">
      <c r="B11" s="96" t="s">
        <v>81</v>
      </c>
      <c r="C11" s="97"/>
      <c r="F11" s="98"/>
      <c r="G11" s="98"/>
    </row>
    <row r="12" spans="2:8" ht="28.8" x14ac:dyDescent="0.3">
      <c r="B12" s="108" t="s">
        <v>219</v>
      </c>
      <c r="C12" s="97">
        <v>5</v>
      </c>
      <c r="G12" s="99"/>
    </row>
    <row r="13" spans="2:8" x14ac:dyDescent="0.3">
      <c r="B13" s="96" t="s">
        <v>65</v>
      </c>
      <c r="C13" s="97"/>
    </row>
    <row r="14" spans="2:8" x14ac:dyDescent="0.3">
      <c r="B14" s="96" t="s">
        <v>212</v>
      </c>
      <c r="C14" s="97"/>
    </row>
    <row r="17" spans="2:8" x14ac:dyDescent="0.3">
      <c r="B17" s="167" t="s">
        <v>97</v>
      </c>
      <c r="C17" s="168"/>
      <c r="F17" s="102" t="s">
        <v>188</v>
      </c>
      <c r="G17" s="102" t="s">
        <v>205</v>
      </c>
      <c r="H17" s="102" t="s">
        <v>206</v>
      </c>
    </row>
    <row r="18" spans="2:8" x14ac:dyDescent="0.3">
      <c r="B18" s="96" t="s">
        <v>209</v>
      </c>
      <c r="C18" s="85">
        <v>2025</v>
      </c>
      <c r="F18" s="79" t="s">
        <v>214</v>
      </c>
      <c r="G18" s="83">
        <f>$C$12/$C$35</f>
        <v>0.11904761904761904</v>
      </c>
      <c r="H18" s="113">
        <f t="shared" ref="H18:H20" si="0">G18*60</f>
        <v>7.1428571428571423</v>
      </c>
    </row>
    <row r="19" spans="2:8" ht="28.8" x14ac:dyDescent="0.3">
      <c r="B19" s="96" t="s">
        <v>230</v>
      </c>
      <c r="C19" s="86" t="s">
        <v>102</v>
      </c>
      <c r="F19" s="156" t="s">
        <v>215</v>
      </c>
      <c r="G19" s="84">
        <f>$C$12/$C$36</f>
        <v>0.16666666666666666</v>
      </c>
      <c r="H19" s="113">
        <f t="shared" si="0"/>
        <v>10</v>
      </c>
    </row>
    <row r="20" spans="2:8" x14ac:dyDescent="0.3">
      <c r="B20" s="79" t="s">
        <v>180</v>
      </c>
      <c r="C20" s="87">
        <f>VLOOKUP(C19,'Delay Reduction Factors'!$B$5:$C$81,2, FALSE)</f>
        <v>0.3</v>
      </c>
      <c r="F20" s="156" t="s">
        <v>204</v>
      </c>
      <c r="G20" s="83">
        <f>$G$19-$G$18</f>
        <v>4.7619047619047616E-2</v>
      </c>
      <c r="H20" s="113">
        <f t="shared" si="0"/>
        <v>2.8571428571428568</v>
      </c>
    </row>
    <row r="21" spans="2:8" x14ac:dyDescent="0.3">
      <c r="B21" s="96" t="s">
        <v>82</v>
      </c>
      <c r="C21" s="85">
        <v>20</v>
      </c>
      <c r="E21" s="78"/>
      <c r="F21" s="79" t="s">
        <v>221</v>
      </c>
      <c r="G21" s="83">
        <f>(1-$C$20)*$G$20</f>
        <v>3.3333333333333326E-2</v>
      </c>
      <c r="H21" s="113">
        <f t="shared" ref="H21:H26" si="1">G21*60</f>
        <v>1.9999999999999996</v>
      </c>
    </row>
    <row r="22" spans="2:8" ht="28.8" x14ac:dyDescent="0.3">
      <c r="B22" s="96" t="s">
        <v>231</v>
      </c>
      <c r="C22" s="86" t="s">
        <v>84</v>
      </c>
      <c r="F22" s="157" t="s">
        <v>222</v>
      </c>
      <c r="G22" s="83">
        <f>$G$18+$G$21</f>
        <v>0.15238095238095237</v>
      </c>
      <c r="H22" s="113">
        <f t="shared" si="1"/>
        <v>9.1428571428571423</v>
      </c>
    </row>
    <row r="23" spans="2:8" x14ac:dyDescent="0.3">
      <c r="B23" s="79" t="s">
        <v>180</v>
      </c>
      <c r="C23" s="87">
        <f>VLOOKUP(C22,'Delay Reduction Factors'!$B$5:$C$81,2, FALSE)</f>
        <v>0.15</v>
      </c>
      <c r="F23" s="79" t="s">
        <v>224</v>
      </c>
      <c r="G23" s="83">
        <f>(1-$C$23)*G21</f>
        <v>2.8333333333333325E-2</v>
      </c>
      <c r="H23" s="113">
        <f t="shared" si="1"/>
        <v>1.6999999999999995</v>
      </c>
    </row>
    <row r="24" spans="2:8" ht="28.8" x14ac:dyDescent="0.3">
      <c r="B24" s="96" t="s">
        <v>82</v>
      </c>
      <c r="C24" s="85">
        <v>20</v>
      </c>
      <c r="E24" s="78"/>
      <c r="F24" s="157" t="s">
        <v>223</v>
      </c>
      <c r="G24" s="83">
        <f>$G$18+G23</f>
        <v>0.14738095238095236</v>
      </c>
      <c r="H24" s="113">
        <f t="shared" si="1"/>
        <v>8.8428571428571416</v>
      </c>
    </row>
    <row r="25" spans="2:8" x14ac:dyDescent="0.3">
      <c r="B25" s="96" t="s">
        <v>232</v>
      </c>
      <c r="C25" s="86" t="s">
        <v>105</v>
      </c>
      <c r="F25" s="79" t="s">
        <v>225</v>
      </c>
      <c r="G25" s="83">
        <f>(1-$C$26)*G23</f>
        <v>2.7766666666666658E-2</v>
      </c>
      <c r="H25" s="113">
        <f t="shared" si="1"/>
        <v>1.6659999999999995</v>
      </c>
    </row>
    <row r="26" spans="2:8" ht="28.8" x14ac:dyDescent="0.3">
      <c r="B26" s="79" t="s">
        <v>180</v>
      </c>
      <c r="C26" s="87">
        <f>VLOOKUP(C25,'Delay Reduction Factors'!$B$5:$C$81,2, FALSE)</f>
        <v>0.02</v>
      </c>
      <c r="F26" s="157" t="s">
        <v>226</v>
      </c>
      <c r="G26" s="83">
        <f>$G$18+G25</f>
        <v>0.1468142857142857</v>
      </c>
      <c r="H26" s="113">
        <f t="shared" si="1"/>
        <v>8.8088571428571427</v>
      </c>
    </row>
    <row r="27" spans="2:8" x14ac:dyDescent="0.3">
      <c r="B27" s="96" t="s">
        <v>82</v>
      </c>
      <c r="C27" s="85">
        <v>20</v>
      </c>
      <c r="E27" s="78"/>
    </row>
    <row r="28" spans="2:8" s="100" customFormat="1" x14ac:dyDescent="0.3">
      <c r="C28" s="101"/>
      <c r="E28" s="78"/>
      <c r="F28" s="90"/>
      <c r="G28" s="90"/>
      <c r="H28" s="90"/>
    </row>
    <row r="29" spans="2:8" x14ac:dyDescent="0.3">
      <c r="F29" s="102" t="s">
        <v>76</v>
      </c>
      <c r="G29" s="104" t="s">
        <v>19</v>
      </c>
      <c r="H29" s="104" t="s">
        <v>20</v>
      </c>
    </row>
    <row r="30" spans="2:8" ht="28.8" x14ac:dyDescent="0.3">
      <c r="B30" s="167" t="s">
        <v>75</v>
      </c>
      <c r="C30" s="168"/>
      <c r="E30" s="78"/>
      <c r="F30" s="156" t="s">
        <v>233</v>
      </c>
      <c r="G30" s="73">
        <f>$C$33*$G$19</f>
        <v>2433.333333333333</v>
      </c>
      <c r="H30" s="73">
        <f>$C$33*$G$26</f>
        <v>2143.488571428571</v>
      </c>
    </row>
    <row r="31" spans="2:8" x14ac:dyDescent="0.3">
      <c r="B31" s="96" t="s">
        <v>237</v>
      </c>
      <c r="C31" s="82">
        <v>28398</v>
      </c>
      <c r="E31" s="78"/>
    </row>
    <row r="32" spans="2:8" x14ac:dyDescent="0.3">
      <c r="B32" s="96" t="s">
        <v>238</v>
      </c>
      <c r="C32" s="82">
        <v>13481</v>
      </c>
    </row>
    <row r="33" spans="2:9" x14ac:dyDescent="0.3">
      <c r="B33" s="96" t="s">
        <v>187</v>
      </c>
      <c r="C33" s="82">
        <v>14600</v>
      </c>
    </row>
    <row r="34" spans="2:9" x14ac:dyDescent="0.3">
      <c r="B34" s="169"/>
      <c r="C34" s="170"/>
      <c r="E34" s="78"/>
      <c r="I34" s="103"/>
    </row>
    <row r="35" spans="2:9" ht="28.8" x14ac:dyDescent="0.3">
      <c r="B35" s="108" t="s">
        <v>207</v>
      </c>
      <c r="C35" s="82">
        <v>42</v>
      </c>
      <c r="E35" s="78"/>
    </row>
    <row r="36" spans="2:9" ht="28.8" x14ac:dyDescent="0.3">
      <c r="B36" s="108" t="s">
        <v>208</v>
      </c>
      <c r="C36" s="82">
        <v>30</v>
      </c>
      <c r="E36" s="78"/>
    </row>
    <row r="37" spans="2:9" x14ac:dyDescent="0.3">
      <c r="B37" s="171"/>
      <c r="C37" s="172"/>
    </row>
    <row r="38" spans="2:9" x14ac:dyDescent="0.3">
      <c r="C38" s="109"/>
      <c r="D38" s="94"/>
    </row>
    <row r="39" spans="2:9" ht="18" x14ac:dyDescent="0.3">
      <c r="B39" s="91" t="s">
        <v>73</v>
      </c>
      <c r="C39" s="92"/>
      <c r="D39" s="94"/>
    </row>
    <row r="40" spans="2:9" x14ac:dyDescent="0.3">
      <c r="D40" s="95"/>
      <c r="E40" s="95"/>
      <c r="F40" s="95"/>
      <c r="G40" s="95"/>
      <c r="H40" s="95"/>
    </row>
    <row r="41" spans="2:9" hidden="1" x14ac:dyDescent="0.3">
      <c r="B41" s="105" t="s">
        <v>71</v>
      </c>
    </row>
    <row r="42" spans="2:9" x14ac:dyDescent="0.3">
      <c r="B42" s="105" t="s">
        <v>71</v>
      </c>
    </row>
    <row r="43" spans="2:9" x14ac:dyDescent="0.3">
      <c r="B43" s="106" t="s">
        <v>213</v>
      </c>
      <c r="C43" s="107">
        <f>Calculations!$T$42</f>
        <v>101474.55960241637</v>
      </c>
    </row>
  </sheetData>
  <sheetProtection algorithmName="SHA-512" hashValue="R25JaYvVlMlL2kSWsLn0q0A8yjNxcas6oOc0nU82otA5fRlQBe/mtfOLi29WJeK5735q+ZFwYHmKCTby5HyiGg==" saltValue="TwpWi00ACAPnG/jP3Ttk4A==" spinCount="100000" sheet="1" objects="1" scenarios="1"/>
  <mergeCells count="5">
    <mergeCell ref="B30:C30"/>
    <mergeCell ref="B17:C17"/>
    <mergeCell ref="B4:C4"/>
    <mergeCell ref="B34:C34"/>
    <mergeCell ref="B37:C37"/>
  </mergeCells>
  <pageMargins left="0.25" right="0.25" top="0.75" bottom="0.75" header="0.3" footer="0.3"/>
  <pageSetup scale="95" fitToWidth="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2000000}">
          <x14:formula1>
            <xm:f>Calculations!$H$8:$H$17</xm:f>
          </x14:formula1>
          <xm:sqref>C18</xm:sqref>
        </x14:dataValidation>
        <x14:dataValidation type="list" allowBlank="1" showInputMessage="1" showErrorMessage="1" xr:uid="{00000000-0002-0000-0300-000000000000}">
          <x14:formula1>
            <xm:f>'Delay Reduction Factors'!$N$5:$N$6</xm:f>
          </x14:formula1>
          <xm:sqref>C7</xm:sqref>
        </x14:dataValidation>
        <x14:dataValidation type="list" allowBlank="1" showInputMessage="1" showErrorMessage="1" xr:uid="{00000000-0002-0000-0300-000001000000}">
          <x14:formula1>
            <xm:f>'Delay Reduction Factors'!$L$5:$L$12</xm:f>
          </x14:formula1>
          <xm:sqref>C6</xm:sqref>
        </x14:dataValidation>
        <x14:dataValidation type="list" allowBlank="1" showInputMessage="1" showErrorMessage="1" xr:uid="{8AA778AE-A6F5-495F-890E-B15B6EF78583}">
          <x14:formula1>
            <xm:f>'Delay Reduction Factors'!$P$5:$P$10</xm:f>
          </x14:formula1>
          <xm:sqref>C8</xm:sqref>
        </x14:dataValidation>
        <x14:dataValidation type="list" allowBlank="1" showInputMessage="1" showErrorMessage="1" xr:uid="{00000000-0002-0000-0300-000003000000}">
          <x14:formula1>
            <xm:f>'Delay Reduction Factors'!$B$5:$B$81</xm:f>
          </x14:formula1>
          <xm:sqref>C25 C19 C22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8"/>
  </sheetPr>
  <dimension ref="A3:X43"/>
  <sheetViews>
    <sheetView topLeftCell="A4" zoomScale="70" zoomScaleNormal="70" workbookViewId="0">
      <selection activeCell="W11" sqref="W11"/>
    </sheetView>
  </sheetViews>
  <sheetFormatPr defaultRowHeight="14.4" x14ac:dyDescent="0.3"/>
  <cols>
    <col min="1" max="1" width="31.33203125" customWidth="1"/>
    <col min="2" max="2" width="8.44140625" customWidth="1"/>
    <col min="3" max="3" width="2.6640625" customWidth="1"/>
    <col min="4" max="4" width="29.77734375" customWidth="1"/>
    <col min="5" max="5" width="9" customWidth="1"/>
    <col min="6" max="6" width="9.21875" customWidth="1"/>
    <col min="7" max="7" width="2.44140625" customWidth="1"/>
    <col min="8" max="8" width="5.5546875" bestFit="1" customWidth="1"/>
    <col min="9" max="9" width="7.88671875" style="1" customWidth="1"/>
    <col min="10" max="10" width="16.88671875" style="50" hidden="1" customWidth="1"/>
    <col min="11" max="11" width="7.109375" style="51" bestFit="1" customWidth="1"/>
    <col min="12" max="12" width="7.88671875" customWidth="1"/>
    <col min="13" max="13" width="10.5546875" customWidth="1"/>
    <col min="14" max="14" width="10.21875" customWidth="1"/>
    <col min="15" max="15" width="8" customWidth="1"/>
    <col min="16" max="16" width="9.21875" customWidth="1"/>
    <col min="17" max="17" width="8.109375" customWidth="1"/>
    <col min="18" max="18" width="10.109375" customWidth="1"/>
    <col min="19" max="19" width="14.88671875" customWidth="1"/>
    <col min="20" max="20" width="11.88671875" bestFit="1" customWidth="1"/>
    <col min="23" max="23" width="10.88671875" bestFit="1" customWidth="1"/>
    <col min="24" max="24" width="9.88671875" bestFit="1" customWidth="1"/>
  </cols>
  <sheetData>
    <row r="3" spans="1:24" ht="43.2" x14ac:dyDescent="0.3">
      <c r="A3" s="114" t="s">
        <v>11</v>
      </c>
      <c r="B3" s="115"/>
      <c r="C3" s="6"/>
      <c r="D3" s="114" t="s">
        <v>26</v>
      </c>
      <c r="E3" s="116" t="s">
        <v>20</v>
      </c>
      <c r="F3" s="116" t="s">
        <v>19</v>
      </c>
      <c r="G3" s="6"/>
      <c r="H3" s="117" t="s">
        <v>24</v>
      </c>
      <c r="I3" s="118" t="s">
        <v>67</v>
      </c>
      <c r="J3" s="119" t="s">
        <v>25</v>
      </c>
      <c r="K3" s="120" t="s">
        <v>68</v>
      </c>
      <c r="L3" s="117" t="s">
        <v>179</v>
      </c>
      <c r="M3" s="117" t="s">
        <v>182</v>
      </c>
      <c r="N3" s="117" t="s">
        <v>181</v>
      </c>
      <c r="O3" s="120" t="s">
        <v>96</v>
      </c>
      <c r="P3" s="117" t="s">
        <v>31</v>
      </c>
      <c r="Q3" s="117" t="s">
        <v>66</v>
      </c>
      <c r="R3" s="117" t="s">
        <v>74</v>
      </c>
      <c r="S3" s="117" t="s">
        <v>220</v>
      </c>
      <c r="T3" s="117" t="s">
        <v>240</v>
      </c>
      <c r="U3" s="6"/>
    </row>
    <row r="4" spans="1:24" x14ac:dyDescent="0.3">
      <c r="A4" s="121" t="s">
        <v>12</v>
      </c>
      <c r="B4" s="122">
        <v>2022</v>
      </c>
      <c r="C4" s="6"/>
      <c r="D4" s="121" t="s">
        <v>216</v>
      </c>
      <c r="E4" s="123">
        <f>'Inputs &amp; Outputs'!H30*Annual_Days_of_Travel</f>
        <v>782373.32857142843</v>
      </c>
      <c r="F4" s="123">
        <f>'Inputs &amp; Outputs'!G30*Annual_Days_of_Travel</f>
        <v>888166.66666666651</v>
      </c>
      <c r="G4" s="6"/>
      <c r="H4" s="124">
        <v>2022</v>
      </c>
      <c r="I4" s="125" t="s">
        <v>70</v>
      </c>
      <c r="J4" s="126">
        <f>MIN(E8,1)</f>
        <v>1</v>
      </c>
      <c r="K4" s="127">
        <f t="shared" ref="K4:K30" si="0">-(ROUNDUP(J4,0)-2)</f>
        <v>1</v>
      </c>
      <c r="L4" s="128">
        <f>'Inputs &amp; Outputs'!C32</f>
        <v>13481</v>
      </c>
      <c r="M4" s="128">
        <f>IF(H4=Year_Open_to_Traffic?,$F$4,0)</f>
        <v>0</v>
      </c>
      <c r="N4" s="128">
        <f>IF(H4=Year_Open_to_Traffic?,Calculations!$E$4,0)</f>
        <v>0</v>
      </c>
      <c r="O4" s="128">
        <f>IF(AND(H4&gt;=Year_Open_to_Traffic?, Calculations!H4&lt;Year_Open_to_Traffic?+'Inputs &amp; Outputs'!C$21), 1, 0)</f>
        <v>0</v>
      </c>
      <c r="P4" s="65">
        <f t="shared" ref="P4:P30" si="1">(M4-N4)*O4</f>
        <v>0</v>
      </c>
      <c r="Q4" s="65">
        <f t="shared" ref="Q4:Q30" si="2">IF(AND(H4&gt;=Year_Open_to_Traffic?,H4&lt;Year_Open_to_Traffic?+Years_to_include_in_BCA_Analysis),1,0)</f>
        <v>0</v>
      </c>
      <c r="R4" s="66">
        <f t="shared" ref="R4:R30" si="3">Value_of_Travel_Time__VoTT___2020*(1+Real_wage_growth_rate)^(H4-Base_Year)</f>
        <v>21.52</v>
      </c>
      <c r="S4" s="129">
        <f t="shared" ref="S4:S30" si="4">(P4*Q4)*(Vehicle_Occupancy*R4)/10^3</f>
        <v>0</v>
      </c>
      <c r="T4" s="130">
        <f>S4/1.031^(H4-H$4)</f>
        <v>0</v>
      </c>
      <c r="U4" s="6"/>
    </row>
    <row r="5" spans="1:24" x14ac:dyDescent="0.3">
      <c r="A5" s="121" t="s">
        <v>14</v>
      </c>
      <c r="B5" s="121">
        <v>1.48</v>
      </c>
      <c r="C5" s="6"/>
      <c r="D5" s="121" t="s">
        <v>217</v>
      </c>
      <c r="E5" s="131">
        <f>IF('Growth Rates'!$C$16&lt;&gt;0,'Growth Rates'!$C$16,VLOOKUP('Inputs &amp; Outputs'!$C$6,'Growth Rates'!$B$4:$D$11,2,FALSE))</f>
        <v>2.0135090814321854E-2</v>
      </c>
      <c r="F5" s="132"/>
      <c r="G5" s="6"/>
      <c r="H5" s="133">
        <f t="shared" ref="H5:H30" si="5">H4+1</f>
        <v>2023</v>
      </c>
      <c r="I5" s="125">
        <f t="shared" ref="I5:I15" si="6">IF(ISERROR(_30_2045_Demand_Growth),_20_2045_Demand_Growth,_Facility_Type)</f>
        <v>2.0135090814321854E-2</v>
      </c>
      <c r="J5" s="134">
        <f t="shared" ref="J5:J11" si="7">J4*(1+IFERROR(_20_2030_V_C_Growth,_20_2045_V_C_Growth))</f>
        <v>1</v>
      </c>
      <c r="K5" s="135">
        <f t="shared" si="0"/>
        <v>1</v>
      </c>
      <c r="L5" s="136">
        <f t="shared" ref="L5:L30" si="8">(L4*I5)+L4</f>
        <v>13752.441159267873</v>
      </c>
      <c r="M5" s="128">
        <f t="shared" ref="M5:M30" si="9">IF(H5=Year_Open_to_Traffic?,$F$4,M4+(M4*I5))</f>
        <v>0</v>
      </c>
      <c r="N5" s="128">
        <f>IF(H5=Year_Open_to_Traffic?,Calculations!$E$4,N4+(N4*I5))</f>
        <v>0</v>
      </c>
      <c r="O5" s="128">
        <f>IF(AND(H5&gt;=Year_Open_to_Traffic?, Calculations!H5&lt;Year_Open_to_Traffic?+'Inputs &amp; Outputs'!C$21), 1, 0)</f>
        <v>0</v>
      </c>
      <c r="P5" s="65">
        <f t="shared" si="1"/>
        <v>0</v>
      </c>
      <c r="Q5" s="65">
        <f t="shared" si="2"/>
        <v>0</v>
      </c>
      <c r="R5" s="66">
        <f t="shared" si="3"/>
        <v>22.165600000000001</v>
      </c>
      <c r="S5" s="129">
        <f t="shared" si="4"/>
        <v>0</v>
      </c>
      <c r="T5" s="130">
        <f t="shared" ref="T5:T41" si="10">S5/1.031^(H5-H$4)</f>
        <v>0</v>
      </c>
      <c r="U5" s="6"/>
    </row>
    <row r="6" spans="1:24" x14ac:dyDescent="0.3">
      <c r="A6" s="121" t="s">
        <v>241</v>
      </c>
      <c r="B6" s="137">
        <f>'Assumed Values'!C9</f>
        <v>21.52</v>
      </c>
      <c r="C6" s="6"/>
      <c r="D6" s="121" t="s">
        <v>190</v>
      </c>
      <c r="E6" s="131">
        <f>IF('Growth Rates'!$C$16&lt;&gt;0,'Growth Rates'!$C$16,VLOOKUP('Inputs &amp; Outputs'!$C$6,'Growth Rates'!$B$4:$D$11,3,FALSE))</f>
        <v>2.0135090814321854E-2</v>
      </c>
      <c r="F6" s="132"/>
      <c r="G6" s="6"/>
      <c r="H6" s="124">
        <f t="shared" si="5"/>
        <v>2024</v>
      </c>
      <c r="I6" s="125">
        <f>IF(ISERROR(_30_2045_Demand_Growth),_20_2045_Demand_Growth,_Facility_Type)</f>
        <v>2.0135090814321854E-2</v>
      </c>
      <c r="J6" s="134">
        <f t="shared" si="7"/>
        <v>1</v>
      </c>
      <c r="K6" s="135">
        <f t="shared" si="0"/>
        <v>1</v>
      </c>
      <c r="L6" s="136">
        <f t="shared" si="8"/>
        <v>14029.34781092835</v>
      </c>
      <c r="M6" s="128">
        <f t="shared" si="9"/>
        <v>0</v>
      </c>
      <c r="N6" s="128">
        <f>IF(H6=Year_Open_to_Traffic?,Calculations!$E$4,N5+(N5*I6))</f>
        <v>0</v>
      </c>
      <c r="O6" s="128">
        <f>IF(AND(H6&gt;=Year_Open_to_Traffic?, Calculations!H6&lt;Year_Open_to_Traffic?+'Inputs &amp; Outputs'!C$21), 1, 0)</f>
        <v>0</v>
      </c>
      <c r="P6" s="65">
        <f t="shared" si="1"/>
        <v>0</v>
      </c>
      <c r="Q6" s="65">
        <f t="shared" si="2"/>
        <v>0</v>
      </c>
      <c r="R6" s="66">
        <f t="shared" si="3"/>
        <v>22.830568</v>
      </c>
      <c r="S6" s="129">
        <f t="shared" si="4"/>
        <v>0</v>
      </c>
      <c r="T6" s="130">
        <f t="shared" si="10"/>
        <v>0</v>
      </c>
      <c r="U6" s="6"/>
    </row>
    <row r="7" spans="1:24" x14ac:dyDescent="0.3">
      <c r="A7" s="121" t="s">
        <v>69</v>
      </c>
      <c r="B7" s="138">
        <f>'Assumed Values'!C10</f>
        <v>0.03</v>
      </c>
      <c r="C7" s="6"/>
      <c r="D7" s="139"/>
      <c r="E7" s="140"/>
      <c r="F7" s="139"/>
      <c r="G7" s="6"/>
      <c r="H7" s="133">
        <f t="shared" si="5"/>
        <v>2025</v>
      </c>
      <c r="I7" s="125">
        <f t="shared" si="6"/>
        <v>2.0135090814321854E-2</v>
      </c>
      <c r="J7" s="134">
        <f t="shared" si="7"/>
        <v>1</v>
      </c>
      <c r="K7" s="135">
        <f t="shared" si="0"/>
        <v>1</v>
      </c>
      <c r="L7" s="136">
        <f t="shared" si="8"/>
        <v>14311.830003167099</v>
      </c>
      <c r="M7" s="128">
        <f t="shared" si="9"/>
        <v>888166.66666666651</v>
      </c>
      <c r="N7" s="128">
        <f>IF(H7=Year_Open_to_Traffic?,Calculations!$E$4,N6+(N6*I7))</f>
        <v>782373.32857142843</v>
      </c>
      <c r="O7" s="128">
        <f>IF(AND(H7&gt;=Year_Open_to_Traffic?, Calculations!H7&lt;Year_Open_to_Traffic?+'Inputs &amp; Outputs'!C$21), 1, 0)</f>
        <v>1</v>
      </c>
      <c r="P7" s="65">
        <f t="shared" si="1"/>
        <v>105793.33809523808</v>
      </c>
      <c r="Q7" s="65">
        <f t="shared" si="2"/>
        <v>1</v>
      </c>
      <c r="R7" s="66">
        <f t="shared" si="3"/>
        <v>23.515485039999998</v>
      </c>
      <c r="S7" s="129">
        <f t="shared" si="4"/>
        <v>3681.9168557791445</v>
      </c>
      <c r="T7" s="130">
        <f t="shared" si="10"/>
        <v>3359.6805202168184</v>
      </c>
      <c r="U7" s="6"/>
    </row>
    <row r="8" spans="1:24" x14ac:dyDescent="0.3">
      <c r="A8" s="121" t="s">
        <v>200</v>
      </c>
      <c r="B8" s="121">
        <v>365</v>
      </c>
      <c r="C8" s="6"/>
      <c r="D8" s="139"/>
      <c r="E8" s="141"/>
      <c r="F8" s="139"/>
      <c r="G8" s="6"/>
      <c r="H8" s="124">
        <f t="shared" si="5"/>
        <v>2026</v>
      </c>
      <c r="I8" s="125">
        <f t="shared" si="6"/>
        <v>2.0135090814321854E-2</v>
      </c>
      <c r="J8" s="134">
        <f t="shared" si="7"/>
        <v>1</v>
      </c>
      <c r="K8" s="135">
        <f t="shared" si="0"/>
        <v>1</v>
      </c>
      <c r="L8" s="136">
        <f t="shared" si="8"/>
        <v>14600.000000000004</v>
      </c>
      <c r="M8" s="128">
        <f t="shared" si="9"/>
        <v>906049.98315825337</v>
      </c>
      <c r="N8" s="128">
        <f>IF(H8=Year_Open_to_Traffic?,Calculations!$E$4,N7+(N7*I8))</f>
        <v>798126.48659291735</v>
      </c>
      <c r="O8" s="128">
        <f>IF(AND(H8&gt;=Year_Open_to_Traffic?, Calculations!H8&lt;Year_Open_to_Traffic?+'Inputs &amp; Outputs'!C$21), 1, 0)</f>
        <v>1</v>
      </c>
      <c r="P8" s="65">
        <f t="shared" si="1"/>
        <v>107923.49656533601</v>
      </c>
      <c r="Q8" s="65">
        <f t="shared" si="2"/>
        <v>1</v>
      </c>
      <c r="R8" s="66">
        <f t="shared" si="3"/>
        <v>24.220949591199997</v>
      </c>
      <c r="S8" s="129">
        <f t="shared" si="4"/>
        <v>3868.7341636222732</v>
      </c>
      <c r="T8" s="130">
        <f t="shared" si="10"/>
        <v>3424.0037171449553</v>
      </c>
      <c r="U8" s="6"/>
      <c r="W8" s="63"/>
      <c r="X8" s="63"/>
    </row>
    <row r="9" spans="1:24" x14ac:dyDescent="0.3">
      <c r="A9" s="121" t="s">
        <v>64</v>
      </c>
      <c r="B9" s="121">
        <f>'Inputs &amp; Outputs'!C21</f>
        <v>20</v>
      </c>
      <c r="C9" s="6"/>
      <c r="D9" s="139"/>
      <c r="E9" s="141"/>
      <c r="F9" s="139"/>
      <c r="G9" s="6"/>
      <c r="H9" s="133">
        <f t="shared" si="5"/>
        <v>2027</v>
      </c>
      <c r="I9" s="125">
        <f t="shared" si="6"/>
        <v>2.0135090814321854E-2</v>
      </c>
      <c r="J9" s="134">
        <f t="shared" si="7"/>
        <v>1</v>
      </c>
      <c r="K9" s="135">
        <f t="shared" si="0"/>
        <v>1</v>
      </c>
      <c r="L9" s="136">
        <f t="shared" si="8"/>
        <v>14893.972325889103</v>
      </c>
      <c r="M9" s="128">
        <f t="shared" si="9"/>
        <v>924293.38185145962</v>
      </c>
      <c r="N9" s="128">
        <f>IF(H9=Year_Open_to_Traffic?,Calculations!$E$4,N8+(N8*I9))</f>
        <v>814196.83588178142</v>
      </c>
      <c r="O9" s="128">
        <f>IF(AND(H9&gt;=Year_Open_to_Traffic?, Calculations!H9&lt;Year_Open_to_Traffic?+'Inputs &amp; Outputs'!C$21), 1, 0)</f>
        <v>1</v>
      </c>
      <c r="P9" s="65">
        <f t="shared" si="1"/>
        <v>110096.54596967821</v>
      </c>
      <c r="Q9" s="65">
        <f t="shared" si="2"/>
        <v>1</v>
      </c>
      <c r="R9" s="66">
        <f t="shared" si="3"/>
        <v>24.947578078935997</v>
      </c>
      <c r="S9" s="129">
        <f t="shared" si="4"/>
        <v>4065.0304216635759</v>
      </c>
      <c r="T9" s="130">
        <f t="shared" si="10"/>
        <v>3489.5584221400509</v>
      </c>
      <c r="U9" s="6"/>
      <c r="W9" s="63"/>
    </row>
    <row r="10" spans="1:24" x14ac:dyDescent="0.3">
      <c r="A10" s="6"/>
      <c r="B10" s="6"/>
      <c r="C10" s="6"/>
      <c r="D10" s="139"/>
      <c r="E10" s="141"/>
      <c r="F10" s="139"/>
      <c r="G10" s="6"/>
      <c r="H10" s="124">
        <f t="shared" si="5"/>
        <v>2028</v>
      </c>
      <c r="I10" s="125">
        <f t="shared" si="6"/>
        <v>2.0135090814321854E-2</v>
      </c>
      <c r="J10" s="134">
        <f t="shared" si="7"/>
        <v>1</v>
      </c>
      <c r="K10" s="135">
        <f t="shared" si="0"/>
        <v>1</v>
      </c>
      <c r="L10" s="136">
        <f t="shared" si="8"/>
        <v>15193.863811256877</v>
      </c>
      <c r="M10" s="128">
        <f t="shared" si="9"/>
        <v>942904.11303411541</v>
      </c>
      <c r="N10" s="128">
        <f>IF(H10=Year_Open_to_Traffic?,Calculations!$E$4,N9+(N9*I10))</f>
        <v>830590.76311299461</v>
      </c>
      <c r="O10" s="128">
        <f>IF(AND(H10&gt;=Year_Open_to_Traffic?, Calculations!H10&lt;Year_Open_to_Traffic?+'Inputs &amp; Outputs'!C$21), 1, 0)</f>
        <v>1</v>
      </c>
      <c r="P10" s="65">
        <f t="shared" si="1"/>
        <v>112313.3499211208</v>
      </c>
      <c r="Q10" s="65">
        <f t="shared" si="2"/>
        <v>1</v>
      </c>
      <c r="R10" s="66">
        <f t="shared" si="3"/>
        <v>25.696005421304079</v>
      </c>
      <c r="S10" s="129">
        <f t="shared" si="4"/>
        <v>4271.2865837177542</v>
      </c>
      <c r="T10" s="130">
        <f t="shared" si="10"/>
        <v>3556.368213198713</v>
      </c>
      <c r="U10" s="6"/>
      <c r="W10" s="63"/>
    </row>
    <row r="11" spans="1:24" ht="30" customHeight="1" x14ac:dyDescent="0.3">
      <c r="A11" s="173" t="s">
        <v>185</v>
      </c>
      <c r="B11" s="174"/>
      <c r="C11" s="6"/>
      <c r="D11" s="139"/>
      <c r="E11" s="140"/>
      <c r="F11" s="139"/>
      <c r="G11" s="6"/>
      <c r="H11" s="133">
        <f t="shared" si="5"/>
        <v>2029</v>
      </c>
      <c r="I11" s="125">
        <f t="shared" si="6"/>
        <v>2.0135090814321854E-2</v>
      </c>
      <c r="J11" s="134">
        <f t="shared" si="7"/>
        <v>1</v>
      </c>
      <c r="K11" s="135">
        <f t="shared" si="0"/>
        <v>1</v>
      </c>
      <c r="L11" s="136">
        <f t="shared" si="8"/>
        <v>15499.793638916972</v>
      </c>
      <c r="M11" s="128">
        <f t="shared" si="9"/>
        <v>961889.57297925488</v>
      </c>
      <c r="N11" s="128">
        <f>IF(H11=Year_Open_to_Traffic?,Calculations!$E$4,N10+(N10*I11))</f>
        <v>847314.78355781164</v>
      </c>
      <c r="O11" s="128">
        <f>IF(AND(H11&gt;=Year_Open_to_Traffic?, Calculations!H11&lt;Year_Open_to_Traffic?+'Inputs &amp; Outputs'!C$21), 1, 0)</f>
        <v>1</v>
      </c>
      <c r="P11" s="65">
        <f t="shared" si="1"/>
        <v>114574.78942144325</v>
      </c>
      <c r="Q11" s="65">
        <f t="shared" si="2"/>
        <v>1</v>
      </c>
      <c r="R11" s="66">
        <f t="shared" si="3"/>
        <v>26.466885583943203</v>
      </c>
      <c r="S11" s="129">
        <f t="shared" si="4"/>
        <v>4488.0080067841509</v>
      </c>
      <c r="T11" s="130">
        <f t="shared" si="10"/>
        <v>3624.4571197331275</v>
      </c>
      <c r="U11" s="6"/>
      <c r="W11" s="63"/>
    </row>
    <row r="12" spans="1:24" x14ac:dyDescent="0.3">
      <c r="A12" s="121" t="s">
        <v>177</v>
      </c>
      <c r="B12" s="142">
        <v>0.45</v>
      </c>
      <c r="C12" s="6"/>
      <c r="D12" s="139"/>
      <c r="E12" s="140"/>
      <c r="F12" s="139"/>
      <c r="G12" s="6"/>
      <c r="H12" s="124">
        <v>2026</v>
      </c>
      <c r="I12" s="125">
        <f t="shared" si="6"/>
        <v>2.0135090814321854E-2</v>
      </c>
      <c r="J12" s="134">
        <f t="shared" ref="J12:J30" si="11">J11*(1+IFERROR(_30_2045_V_C_Growth,_20_2045_V_C_Growth))</f>
        <v>1</v>
      </c>
      <c r="K12" s="135">
        <f t="shared" si="0"/>
        <v>1</v>
      </c>
      <c r="L12" s="136">
        <f t="shared" si="8"/>
        <v>15811.883391439813</v>
      </c>
      <c r="M12" s="128">
        <f t="shared" si="9"/>
        <v>981257.30688454141</v>
      </c>
      <c r="N12" s="128">
        <f>IF(H12=Year_Open_to_Traffic?,Calculations!$E$4,N11+(N11*I12))</f>
        <v>864375.54367306561</v>
      </c>
      <c r="O12" s="128">
        <v>1</v>
      </c>
      <c r="P12" s="65">
        <f t="shared" si="1"/>
        <v>116881.7632114758</v>
      </c>
      <c r="Q12" s="65">
        <v>1</v>
      </c>
      <c r="R12" s="66">
        <f t="shared" si="3"/>
        <v>24.220949591199997</v>
      </c>
      <c r="S12" s="129">
        <f t="shared" si="4"/>
        <v>4189.86119641608</v>
      </c>
      <c r="T12" s="130">
        <f t="shared" si="10"/>
        <v>3708.2155826953735</v>
      </c>
      <c r="U12" s="6"/>
      <c r="W12" s="63"/>
    </row>
    <row r="13" spans="1:24" x14ac:dyDescent="0.3">
      <c r="A13" s="121" t="s">
        <v>178</v>
      </c>
      <c r="B13" s="142">
        <v>0.43</v>
      </c>
      <c r="C13" s="6"/>
      <c r="D13" s="139"/>
      <c r="E13" s="140"/>
      <c r="F13" s="139"/>
      <c r="G13" s="6"/>
      <c r="H13" s="133">
        <f t="shared" si="5"/>
        <v>2027</v>
      </c>
      <c r="I13" s="125">
        <f t="shared" si="6"/>
        <v>2.0135090814321854E-2</v>
      </c>
      <c r="J13" s="134">
        <f t="shared" si="11"/>
        <v>1</v>
      </c>
      <c r="K13" s="135">
        <f t="shared" si="0"/>
        <v>1</v>
      </c>
      <c r="L13" s="136">
        <f t="shared" si="8"/>
        <v>16130.257099471921</v>
      </c>
      <c r="M13" s="128">
        <f t="shared" si="9"/>
        <v>1001015.0118708785</v>
      </c>
      <c r="N13" s="128">
        <f>IF(H13=Year_Open_to_Traffic?,Calculations!$E$4,N12+(N12*I13))</f>
        <v>881779.82374260155</v>
      </c>
      <c r="O13" s="128">
        <f>IF(AND(H13&gt;=Year_Open_to_Traffic?, Calculations!H13&lt;Year_Open_to_Traffic?+'Inputs &amp; Outputs'!C$21), 1, 0)</f>
        <v>1</v>
      </c>
      <c r="P13" s="65">
        <f t="shared" si="1"/>
        <v>119235.18812827696</v>
      </c>
      <c r="Q13" s="65">
        <f t="shared" si="2"/>
        <v>1</v>
      </c>
      <c r="R13" s="66">
        <f t="shared" si="3"/>
        <v>24.947578078935997</v>
      </c>
      <c r="S13" s="129">
        <f t="shared" si="4"/>
        <v>4402.4511650684817</v>
      </c>
      <c r="T13" s="130">
        <f t="shared" si="10"/>
        <v>3779.2117026366541</v>
      </c>
      <c r="U13" s="6"/>
      <c r="W13" s="63"/>
    </row>
    <row r="14" spans="1:24" x14ac:dyDescent="0.3">
      <c r="A14" s="6"/>
      <c r="B14" s="6"/>
      <c r="C14" s="6"/>
      <c r="D14" s="6"/>
      <c r="E14" s="6"/>
      <c r="F14" s="6"/>
      <c r="G14" s="6"/>
      <c r="H14" s="124">
        <f>H13+1</f>
        <v>2028</v>
      </c>
      <c r="I14" s="125">
        <f t="shared" si="6"/>
        <v>2.0135090814321854E-2</v>
      </c>
      <c r="J14" s="134">
        <f t="shared" si="11"/>
        <v>1</v>
      </c>
      <c r="K14" s="135">
        <f t="shared" si="0"/>
        <v>1</v>
      </c>
      <c r="L14" s="136">
        <f t="shared" si="8"/>
        <v>16455.041291028148</v>
      </c>
      <c r="M14" s="128">
        <f t="shared" si="9"/>
        <v>1021170.5400413981</v>
      </c>
      <c r="N14" s="128">
        <f>IF(H14=Year_Open_to_Traffic?,Calculations!$E$4,N13+(N13*I14))</f>
        <v>899534.54057189554</v>
      </c>
      <c r="O14" s="128">
        <f>IF(AND(H14&gt;=Year_Open_to_Traffic?, Calculations!H14&lt;Year_Open_to_Traffic?+'Inputs &amp; Outputs'!C$21), 1, 0)</f>
        <v>1</v>
      </c>
      <c r="P14" s="65">
        <f t="shared" si="1"/>
        <v>121635.9994695026</v>
      </c>
      <c r="Q14" s="65">
        <f t="shared" si="2"/>
        <v>1</v>
      </c>
      <c r="R14" s="66">
        <f t="shared" si="3"/>
        <v>25.696005421304079</v>
      </c>
      <c r="S14" s="129">
        <f t="shared" si="4"/>
        <v>4625.8277666552367</v>
      </c>
      <c r="T14" s="130">
        <f t="shared" si="10"/>
        <v>3851.5670879535078</v>
      </c>
      <c r="U14" s="6"/>
      <c r="W14" s="63"/>
    </row>
    <row r="15" spans="1:24" x14ac:dyDescent="0.3">
      <c r="A15" s="6"/>
      <c r="B15" s="6"/>
      <c r="C15" s="6"/>
      <c r="D15" s="6"/>
      <c r="E15" s="6"/>
      <c r="F15" s="6"/>
      <c r="G15" s="6"/>
      <c r="H15" s="133">
        <f t="shared" si="5"/>
        <v>2029</v>
      </c>
      <c r="I15" s="125">
        <f t="shared" si="6"/>
        <v>2.0135090814321854E-2</v>
      </c>
      <c r="J15" s="134">
        <f t="shared" si="11"/>
        <v>1</v>
      </c>
      <c r="K15" s="135">
        <f t="shared" si="0"/>
        <v>1</v>
      </c>
      <c r="L15" s="136">
        <f t="shared" si="8"/>
        <v>16786.365041776415</v>
      </c>
      <c r="M15" s="128">
        <f t="shared" si="9"/>
        <v>1041731.9016020418</v>
      </c>
      <c r="N15" s="128">
        <f>IF(H15=Year_Open_to_Traffic?,Calculations!$E$4,N14+(N14*I15))</f>
        <v>917646.75023692998</v>
      </c>
      <c r="O15" s="128">
        <f>IF(AND(H15&gt;=Year_Open_to_Traffic?, Calculations!H15&lt;Year_Open_to_Traffic?+'Inputs &amp; Outputs'!C$21), 1, 0)</f>
        <v>1</v>
      </c>
      <c r="P15" s="65">
        <f t="shared" si="1"/>
        <v>124085.15136511181</v>
      </c>
      <c r="Q15" s="65">
        <f t="shared" si="2"/>
        <v>1</v>
      </c>
      <c r="R15" s="66">
        <f t="shared" si="3"/>
        <v>26.466885583943203</v>
      </c>
      <c r="S15" s="129">
        <f t="shared" si="4"/>
        <v>4860.5383056930987</v>
      </c>
      <c r="T15" s="130">
        <f t="shared" si="10"/>
        <v>3925.307762636578</v>
      </c>
      <c r="U15" s="6"/>
      <c r="W15" s="63"/>
    </row>
    <row r="16" spans="1:24" x14ac:dyDescent="0.3">
      <c r="A16" s="175" t="s">
        <v>210</v>
      </c>
      <c r="B16" s="176"/>
      <c r="C16" s="6"/>
      <c r="D16" s="6"/>
      <c r="E16" s="6"/>
      <c r="F16" s="6"/>
      <c r="G16" s="6"/>
      <c r="H16" s="124">
        <f t="shared" si="5"/>
        <v>2030</v>
      </c>
      <c r="I16" s="125">
        <f t="shared" ref="I16:I41" si="12">IFERROR(_30_2045_Demand_Growth,_20_2045_Demand_Growth)</f>
        <v>2.0135090814321854E-2</v>
      </c>
      <c r="J16" s="134">
        <f t="shared" si="11"/>
        <v>1</v>
      </c>
      <c r="K16" s="135">
        <f t="shared" si="0"/>
        <v>1</v>
      </c>
      <c r="L16" s="136">
        <f t="shared" si="8"/>
        <v>17124.36002633494</v>
      </c>
      <c r="M16" s="128">
        <f t="shared" si="9"/>
        <v>1062707.2680449751</v>
      </c>
      <c r="N16" s="128">
        <f>IF(H16=Year_Open_to_Traffic?,Calculations!$E$4,N15+(N15*I16))</f>
        <v>936123.65088841785</v>
      </c>
      <c r="O16" s="128">
        <f>IF(AND(H16&gt;=Year_Open_to_Traffic?, Calculations!H16&lt;Year_Open_to_Traffic?+'Inputs &amp; Outputs'!C$21), 1, 0)</f>
        <v>1</v>
      </c>
      <c r="P16" s="65">
        <f t="shared" si="1"/>
        <v>126583.61715655727</v>
      </c>
      <c r="Q16" s="65">
        <f t="shared" si="2"/>
        <v>1</v>
      </c>
      <c r="R16" s="66">
        <f t="shared" si="3"/>
        <v>27.260892151461494</v>
      </c>
      <c r="S16" s="129">
        <f t="shared" si="4"/>
        <v>5107.157856461261</v>
      </c>
      <c r="T16" s="130">
        <f t="shared" si="10"/>
        <v>4000.4602489221834</v>
      </c>
      <c r="U16" s="6"/>
      <c r="W16" s="63"/>
    </row>
    <row r="17" spans="1:23" x14ac:dyDescent="0.3">
      <c r="A17" s="143"/>
      <c r="B17" s="6"/>
      <c r="C17" s="6"/>
      <c r="D17" s="6"/>
      <c r="E17" s="6"/>
      <c r="F17" s="6"/>
      <c r="G17" s="6"/>
      <c r="H17" s="133">
        <f t="shared" si="5"/>
        <v>2031</v>
      </c>
      <c r="I17" s="125">
        <f t="shared" si="12"/>
        <v>2.0135090814321854E-2</v>
      </c>
      <c r="J17" s="134">
        <f t="shared" si="11"/>
        <v>1</v>
      </c>
      <c r="K17" s="135">
        <f t="shared" si="0"/>
        <v>1</v>
      </c>
      <c r="L17" s="136">
        <f t="shared" si="8"/>
        <v>17469.160570602337</v>
      </c>
      <c r="M17" s="128">
        <f t="shared" si="9"/>
        <v>1084104.9753961007</v>
      </c>
      <c r="N17" s="128">
        <f>IF(H17=Year_Open_to_Traffic?,Calculations!$E$4,N16+(N16*I17))</f>
        <v>954972.58561249066</v>
      </c>
      <c r="O17" s="128">
        <f>IF(AND(H17&gt;=Year_Open_to_Traffic?, Calculations!H17&lt;Year_Open_to_Traffic?+'Inputs &amp; Outputs'!C$21), 1, 0)</f>
        <v>1</v>
      </c>
      <c r="P17" s="65">
        <f t="shared" si="1"/>
        <v>129132.38978361001</v>
      </c>
      <c r="Q17" s="65">
        <f t="shared" si="2"/>
        <v>1</v>
      </c>
      <c r="R17" s="66">
        <f t="shared" si="3"/>
        <v>28.078718916005339</v>
      </c>
      <c r="S17" s="129">
        <f t="shared" si="4"/>
        <v>5366.2906720153178</v>
      </c>
      <c r="T17" s="130">
        <f t="shared" si="10"/>
        <v>4077.0515768315436</v>
      </c>
      <c r="U17" s="6"/>
      <c r="W17" s="63"/>
    </row>
    <row r="18" spans="1:23" x14ac:dyDescent="0.3">
      <c r="A18" s="6"/>
      <c r="B18" s="6"/>
      <c r="C18" s="6"/>
      <c r="D18" s="6"/>
      <c r="E18" s="6"/>
      <c r="F18" s="6"/>
      <c r="G18" s="6"/>
      <c r="H18" s="124">
        <f t="shared" si="5"/>
        <v>2032</v>
      </c>
      <c r="I18" s="125">
        <f t="shared" si="12"/>
        <v>2.0135090814321854E-2</v>
      </c>
      <c r="J18" s="134">
        <f t="shared" si="11"/>
        <v>1</v>
      </c>
      <c r="K18" s="135">
        <f t="shared" si="0"/>
        <v>1</v>
      </c>
      <c r="L18" s="136">
        <f t="shared" si="8"/>
        <v>17820.903705141383</v>
      </c>
      <c r="M18" s="128">
        <f t="shared" si="9"/>
        <v>1105933.5275279593</v>
      </c>
      <c r="N18" s="128">
        <f>IF(H18=Year_Open_to_Traffic?,Calculations!$E$4,N17+(N17*I18))</f>
        <v>974201.04534898594</v>
      </c>
      <c r="O18" s="128">
        <f>IF(AND(H18&gt;=Year_Open_to_Traffic?, Calculations!H18&lt;Year_Open_to_Traffic?+'Inputs &amp; Outputs'!C$21), 1, 0)</f>
        <v>1</v>
      </c>
      <c r="P18" s="65">
        <f t="shared" si="1"/>
        <v>131732.48217897338</v>
      </c>
      <c r="Q18" s="65">
        <f t="shared" si="2"/>
        <v>1</v>
      </c>
      <c r="R18" s="66">
        <f t="shared" si="3"/>
        <v>28.9210804834855</v>
      </c>
      <c r="S18" s="129">
        <f t="shared" si="4"/>
        <v>5638.5716646933652</v>
      </c>
      <c r="T18" s="130">
        <f t="shared" si="10"/>
        <v>4155.1092938926204</v>
      </c>
      <c r="U18" s="6"/>
      <c r="W18" s="63"/>
    </row>
    <row r="19" spans="1:23" x14ac:dyDescent="0.3">
      <c r="A19" s="6"/>
      <c r="B19" s="6"/>
      <c r="C19" s="6"/>
      <c r="D19" s="6"/>
      <c r="E19" s="6"/>
      <c r="F19" s="6"/>
      <c r="G19" s="6"/>
      <c r="H19" s="133">
        <f t="shared" si="5"/>
        <v>2033</v>
      </c>
      <c r="I19" s="125">
        <f t="shared" si="12"/>
        <v>2.0135090814321854E-2</v>
      </c>
      <c r="J19" s="134">
        <f t="shared" si="11"/>
        <v>1</v>
      </c>
      <c r="K19" s="135">
        <f t="shared" si="0"/>
        <v>1</v>
      </c>
      <c r="L19" s="136">
        <f t="shared" si="8"/>
        <v>18179.729219637691</v>
      </c>
      <c r="M19" s="128">
        <f t="shared" si="9"/>
        <v>1128201.5995393381</v>
      </c>
      <c r="N19" s="128">
        <f>IF(H19=Year_Open_to_Traffic?,Calculations!$E$4,N18+(N18*I19))</f>
        <v>993816.67186849506</v>
      </c>
      <c r="O19" s="128">
        <f>IF(AND(H19&gt;=Year_Open_to_Traffic?, Calculations!H19&lt;Year_Open_to_Traffic?+'Inputs &amp; Outputs'!C$21), 1, 0)</f>
        <v>1</v>
      </c>
      <c r="P19" s="65">
        <f t="shared" si="1"/>
        <v>134384.92767084308</v>
      </c>
      <c r="Q19" s="65">
        <f t="shared" si="2"/>
        <v>1</v>
      </c>
      <c r="R19" s="66">
        <f t="shared" si="3"/>
        <v>29.788712897990067</v>
      </c>
      <c r="S19" s="129">
        <f t="shared" si="4"/>
        <v>5924.6679617417803</v>
      </c>
      <c r="T19" s="130">
        <f t="shared" si="10"/>
        <v>4234.6614750481467</v>
      </c>
      <c r="U19" s="6"/>
      <c r="W19" s="63"/>
    </row>
    <row r="20" spans="1:23" x14ac:dyDescent="0.3">
      <c r="A20" s="6"/>
      <c r="B20" s="6"/>
      <c r="C20" s="6"/>
      <c r="D20" s="6"/>
      <c r="E20" s="6"/>
      <c r="F20" s="6"/>
      <c r="G20" s="6"/>
      <c r="H20" s="124">
        <f t="shared" si="5"/>
        <v>2034</v>
      </c>
      <c r="I20" s="125">
        <f t="shared" si="12"/>
        <v>2.0135090814321854E-2</v>
      </c>
      <c r="J20" s="134">
        <f t="shared" si="11"/>
        <v>1</v>
      </c>
      <c r="K20" s="135">
        <f t="shared" si="0"/>
        <v>1</v>
      </c>
      <c r="L20" s="136">
        <f t="shared" si="8"/>
        <v>18545.779718454876</v>
      </c>
      <c r="M20" s="128">
        <f t="shared" si="9"/>
        <v>1150918.0412029258</v>
      </c>
      <c r="N20" s="128">
        <f>IF(H20=Year_Open_to_Traffic?,Calculations!$E$4,N19+(N19*I20))</f>
        <v>1013827.2608093544</v>
      </c>
      <c r="O20" s="128">
        <f>IF(AND(H20&gt;=Year_Open_to_Traffic?, Calculations!H20&lt;Year_Open_to_Traffic?+'Inputs &amp; Outputs'!C$21), 1, 0)</f>
        <v>1</v>
      </c>
      <c r="P20" s="65">
        <f t="shared" si="1"/>
        <v>137090.78039357148</v>
      </c>
      <c r="Q20" s="65">
        <f t="shared" si="2"/>
        <v>1</v>
      </c>
      <c r="R20" s="66">
        <f t="shared" si="3"/>
        <v>30.682374284929764</v>
      </c>
      <c r="S20" s="129">
        <f t="shared" si="4"/>
        <v>6225.2805398720338</v>
      </c>
      <c r="T20" s="130">
        <f t="shared" si="10"/>
        <v>4315.7367327532811</v>
      </c>
      <c r="U20" s="6"/>
      <c r="W20" s="63"/>
    </row>
    <row r="21" spans="1:23" x14ac:dyDescent="0.3">
      <c r="A21" s="6"/>
      <c r="B21" s="6"/>
      <c r="C21" s="6"/>
      <c r="D21" s="6"/>
      <c r="E21" s="6"/>
      <c r="F21" s="6"/>
      <c r="G21" s="6"/>
      <c r="H21" s="133">
        <f t="shared" si="5"/>
        <v>2035</v>
      </c>
      <c r="I21" s="125">
        <f t="shared" si="12"/>
        <v>2.0135090814321854E-2</v>
      </c>
      <c r="J21" s="134">
        <f t="shared" si="11"/>
        <v>1</v>
      </c>
      <c r="K21" s="135">
        <f t="shared" si="0"/>
        <v>1</v>
      </c>
      <c r="L21" s="136">
        <f t="shared" si="8"/>
        <v>18919.200677308374</v>
      </c>
      <c r="M21" s="128">
        <f t="shared" si="9"/>
        <v>1174091.8804823882</v>
      </c>
      <c r="N21" s="128">
        <f>IF(H21=Year_Open_to_Traffic?,Calculations!$E$4,N20+(N20*I21))</f>
        <v>1034240.7647757859</v>
      </c>
      <c r="O21" s="128">
        <f>IF(AND(H21&gt;=Year_Open_to_Traffic?, Calculations!H21&lt;Year_Open_to_Traffic?+'Inputs &amp; Outputs'!C$21), 1, 0)</f>
        <v>1</v>
      </c>
      <c r="P21" s="65">
        <f t="shared" si="1"/>
        <v>139851.11570660234</v>
      </c>
      <c r="Q21" s="65">
        <f t="shared" si="2"/>
        <v>1</v>
      </c>
      <c r="R21" s="66">
        <f t="shared" si="3"/>
        <v>31.602845513477654</v>
      </c>
      <c r="S21" s="129">
        <f t="shared" si="4"/>
        <v>6541.1459427535992</v>
      </c>
      <c r="T21" s="130">
        <f t="shared" si="10"/>
        <v>4398.3642272666475</v>
      </c>
      <c r="U21" s="6"/>
      <c r="W21" s="63"/>
    </row>
    <row r="22" spans="1:23" x14ac:dyDescent="0.3">
      <c r="A22" s="6"/>
      <c r="B22" s="6"/>
      <c r="C22" s="6"/>
      <c r="D22" s="6"/>
      <c r="E22" s="6"/>
      <c r="F22" s="6"/>
      <c r="G22" s="6"/>
      <c r="H22" s="124">
        <f>H21+1</f>
        <v>2036</v>
      </c>
      <c r="I22" s="125">
        <f t="shared" si="12"/>
        <v>2.0135090814321854E-2</v>
      </c>
      <c r="J22" s="134">
        <f t="shared" si="11"/>
        <v>1</v>
      </c>
      <c r="K22" s="135">
        <f t="shared" si="0"/>
        <v>1</v>
      </c>
      <c r="L22" s="136">
        <f t="shared" si="8"/>
        <v>19300.140501080357</v>
      </c>
      <c r="M22" s="128">
        <f t="shared" si="9"/>
        <v>1197732.3271202589</v>
      </c>
      <c r="N22" s="128">
        <f>IF(H22=Year_Open_to_Traffic?,Calculations!$E$4,N21+(N21*I22))</f>
        <v>1055065.2964984199</v>
      </c>
      <c r="O22" s="128">
        <f>IF(AND(H22&gt;=Year_Open_to_Traffic?, Calculations!H22&lt;Year_Open_to_Traffic?+'Inputs &amp; Outputs'!C$21), 1, 0)</f>
        <v>1</v>
      </c>
      <c r="P22" s="65">
        <f t="shared" si="1"/>
        <v>142667.03062183899</v>
      </c>
      <c r="Q22" s="65">
        <f t="shared" si="2"/>
        <v>1</v>
      </c>
      <c r="R22" s="66">
        <f t="shared" si="3"/>
        <v>32.550930878881985</v>
      </c>
      <c r="S22" s="129">
        <f t="shared" si="4"/>
        <v>6873.0380856508937</v>
      </c>
      <c r="T22" s="130">
        <f t="shared" si="10"/>
        <v>4482.5736771383499</v>
      </c>
      <c r="U22" s="6"/>
      <c r="W22" s="63"/>
    </row>
    <row r="23" spans="1:23" x14ac:dyDescent="0.3">
      <c r="A23" s="6"/>
      <c r="B23" s="6"/>
      <c r="C23" s="6"/>
      <c r="D23" s="6"/>
      <c r="E23" s="6"/>
      <c r="F23" s="6"/>
      <c r="G23" s="6"/>
      <c r="H23" s="133">
        <f t="shared" si="5"/>
        <v>2037</v>
      </c>
      <c r="I23" s="125">
        <f t="shared" si="12"/>
        <v>2.0135090814321854E-2</v>
      </c>
      <c r="J23" s="134">
        <f t="shared" si="11"/>
        <v>1</v>
      </c>
      <c r="K23" s="135">
        <f t="shared" si="0"/>
        <v>1</v>
      </c>
      <c r="L23" s="136">
        <f t="shared" si="8"/>
        <v>19688.750582798781</v>
      </c>
      <c r="M23" s="128">
        <f t="shared" si="9"/>
        <v>1221848.7762980745</v>
      </c>
      <c r="N23" s="128">
        <f>IF(H23=Year_Open_to_Traffic?,Calculations!$E$4,N22+(N22*I23))</f>
        <v>1076309.1320584551</v>
      </c>
      <c r="O23" s="128">
        <f>IF(AND(H23&gt;=Year_Open_to_Traffic?, Calculations!H23&lt;Year_Open_to_Traffic?+'Inputs &amp; Outputs'!C$21), 1, 0)</f>
        <v>1</v>
      </c>
      <c r="P23" s="65">
        <f t="shared" si="1"/>
        <v>145539.64423961937</v>
      </c>
      <c r="Q23" s="65">
        <f t="shared" si="2"/>
        <v>1</v>
      </c>
      <c r="R23" s="66">
        <f t="shared" si="3"/>
        <v>33.52745880524845</v>
      </c>
      <c r="S23" s="129">
        <f t="shared" si="4"/>
        <v>7221.770151626044</v>
      </c>
      <c r="T23" s="130">
        <f t="shared" si="10"/>
        <v>4568.3953698988407</v>
      </c>
      <c r="U23" s="6"/>
      <c r="W23" s="63"/>
    </row>
    <row r="24" spans="1:23" x14ac:dyDescent="0.3">
      <c r="A24" s="6"/>
      <c r="B24" s="6"/>
      <c r="C24" s="6"/>
      <c r="D24" s="6"/>
      <c r="E24" s="6"/>
      <c r="F24" s="6"/>
      <c r="G24" s="6"/>
      <c r="H24" s="124">
        <f t="shared" si="5"/>
        <v>2038</v>
      </c>
      <c r="I24" s="125">
        <f t="shared" si="12"/>
        <v>2.0135090814321854E-2</v>
      </c>
      <c r="J24" s="134">
        <f t="shared" si="11"/>
        <v>1</v>
      </c>
      <c r="K24" s="135">
        <f t="shared" si="0"/>
        <v>1</v>
      </c>
      <c r="L24" s="136">
        <f t="shared" si="8"/>
        <v>20085.185363803965</v>
      </c>
      <c r="M24" s="128">
        <f t="shared" si="9"/>
        <v>1246450.8123702044</v>
      </c>
      <c r="N24" s="128">
        <f>IF(H24=Year_Open_to_Traffic?,Calculations!$E$4,N23+(N23*I24))</f>
        <v>1097980.7141767361</v>
      </c>
      <c r="O24" s="128">
        <f>IF(AND(H24&gt;=Year_Open_to_Traffic?, Calculations!H24&lt;Year_Open_to_Traffic?+'Inputs &amp; Outputs'!C$21), 1, 0)</f>
        <v>1</v>
      </c>
      <c r="P24" s="65">
        <f t="shared" si="1"/>
        <v>148470.09819346829</v>
      </c>
      <c r="Q24" s="65">
        <f t="shared" si="2"/>
        <v>1</v>
      </c>
      <c r="R24" s="66">
        <f t="shared" si="3"/>
        <v>34.533282569405898</v>
      </c>
      <c r="S24" s="129">
        <f t="shared" si="4"/>
        <v>7588.1965839532713</v>
      </c>
      <c r="T24" s="130">
        <f t="shared" si="10"/>
        <v>4655.8601729523825</v>
      </c>
      <c r="U24" s="6"/>
      <c r="W24" s="63"/>
    </row>
    <row r="25" spans="1:23" x14ac:dyDescent="0.3">
      <c r="A25" s="6"/>
      <c r="B25" s="6"/>
      <c r="C25" s="6"/>
      <c r="D25" s="6"/>
      <c r="E25" s="6"/>
      <c r="F25" s="6"/>
      <c r="G25" s="6"/>
      <c r="H25" s="133">
        <f t="shared" si="5"/>
        <v>2039</v>
      </c>
      <c r="I25" s="125">
        <f t="shared" si="12"/>
        <v>2.0135090814321854E-2</v>
      </c>
      <c r="J25" s="134">
        <f t="shared" si="11"/>
        <v>1</v>
      </c>
      <c r="K25" s="135">
        <f t="shared" si="0"/>
        <v>1</v>
      </c>
      <c r="L25" s="136">
        <f t="shared" si="8"/>
        <v>20489.602395126647</v>
      </c>
      <c r="M25" s="128">
        <f t="shared" si="9"/>
        <v>1271548.2126728636</v>
      </c>
      <c r="N25" s="128">
        <f>IF(H25=Year_Open_to_Traffic?,Calculations!$E$4,N24+(N24*I25))</f>
        <v>1120088.6555690586</v>
      </c>
      <c r="O25" s="128">
        <f>IF(AND(H25&gt;=Year_Open_to_Traffic?, Calculations!H25&lt;Year_Open_to_Traffic?+'Inputs &amp; Outputs'!C$21), 1, 0)</f>
        <v>1</v>
      </c>
      <c r="P25" s="65">
        <f t="shared" si="1"/>
        <v>151459.55710380501</v>
      </c>
      <c r="Q25" s="65">
        <f t="shared" si="2"/>
        <v>1</v>
      </c>
      <c r="R25" s="66">
        <f t="shared" si="3"/>
        <v>35.569281046488072</v>
      </c>
      <c r="S25" s="129">
        <f t="shared" si="4"/>
        <v>7973.2151796267372</v>
      </c>
      <c r="T25" s="130">
        <f t="shared" si="10"/>
        <v>4744.9995446791163</v>
      </c>
      <c r="U25" s="6"/>
      <c r="W25" s="63"/>
    </row>
    <row r="26" spans="1:23" x14ac:dyDescent="0.3">
      <c r="A26" s="6"/>
      <c r="B26" s="6"/>
      <c r="C26" s="6"/>
      <c r="D26" s="6"/>
      <c r="E26" s="6"/>
      <c r="F26" s="6"/>
      <c r="G26" s="6"/>
      <c r="H26" s="124">
        <f t="shared" si="5"/>
        <v>2040</v>
      </c>
      <c r="I26" s="125">
        <f t="shared" si="12"/>
        <v>2.0135090814321854E-2</v>
      </c>
      <c r="J26" s="134">
        <f t="shared" si="11"/>
        <v>1</v>
      </c>
      <c r="K26" s="135">
        <f t="shared" si="0"/>
        <v>1</v>
      </c>
      <c r="L26" s="136">
        <f t="shared" si="8"/>
        <v>20902.162400101868</v>
      </c>
      <c r="M26" s="128">
        <f t="shared" si="9"/>
        <v>1297150.9514098205</v>
      </c>
      <c r="N26" s="128">
        <f>IF(H26=Year_Open_to_Traffic?,Calculations!$E$4,N25+(N25*I26))</f>
        <v>1142641.7423690332</v>
      </c>
      <c r="O26" s="128">
        <f>IF(AND(H26&gt;=Year_Open_to_Traffic?, Calculations!H26&lt;Year_Open_to_Traffic?+'Inputs &amp; Outputs'!C$21), 1, 0)</f>
        <v>1</v>
      </c>
      <c r="P26" s="65">
        <f t="shared" si="1"/>
        <v>154509.2090407873</v>
      </c>
      <c r="Q26" s="65">
        <f t="shared" si="2"/>
        <v>1</v>
      </c>
      <c r="R26" s="66">
        <f t="shared" si="3"/>
        <v>36.636359477882714</v>
      </c>
      <c r="S26" s="129">
        <f t="shared" si="4"/>
        <v>8377.7692890911821</v>
      </c>
      <c r="T26" s="130">
        <f t="shared" si="10"/>
        <v>4835.8455457496675</v>
      </c>
      <c r="U26" s="6"/>
      <c r="W26" s="63"/>
    </row>
    <row r="27" spans="1:23" x14ac:dyDescent="0.3">
      <c r="A27" s="6"/>
      <c r="B27" s="6"/>
      <c r="C27" s="6"/>
      <c r="D27" s="6"/>
      <c r="E27" s="6"/>
      <c r="F27" s="6"/>
      <c r="G27" s="6"/>
      <c r="H27" s="133">
        <f t="shared" si="5"/>
        <v>2041</v>
      </c>
      <c r="I27" s="125">
        <f t="shared" si="12"/>
        <v>2.0135090814321854E-2</v>
      </c>
      <c r="J27" s="134">
        <f t="shared" si="11"/>
        <v>1</v>
      </c>
      <c r="K27" s="135">
        <f t="shared" si="0"/>
        <v>1</v>
      </c>
      <c r="L27" s="136">
        <f t="shared" si="8"/>
        <v>21323.029338243621</v>
      </c>
      <c r="M27" s="128">
        <f t="shared" si="9"/>
        <v>1323269.2036163411</v>
      </c>
      <c r="N27" s="128">
        <f>IF(H27=Year_Open_to_Traffic?,Calculations!$E$4,N26+(N26*I27))</f>
        <v>1165648.9376198687</v>
      </c>
      <c r="O27" s="128">
        <f>IF(AND(H27&gt;=Year_Open_to_Traffic?, Calculations!H27&lt;Year_Open_to_Traffic?+'Inputs &amp; Outputs'!C$21), 1, 0)</f>
        <v>1</v>
      </c>
      <c r="P27" s="65">
        <f t="shared" si="1"/>
        <v>157620.26599647244</v>
      </c>
      <c r="Q27" s="65">
        <f t="shared" si="2"/>
        <v>1</v>
      </c>
      <c r="R27" s="66">
        <f t="shared" si="3"/>
        <v>37.735450262219196</v>
      </c>
      <c r="S27" s="129">
        <f t="shared" si="4"/>
        <v>8802.8501275849158</v>
      </c>
      <c r="T27" s="130">
        <f t="shared" si="10"/>
        <v>4928.430850656342</v>
      </c>
      <c r="U27" s="6"/>
      <c r="W27" s="63"/>
    </row>
    <row r="28" spans="1:23" x14ac:dyDescent="0.3">
      <c r="A28" s="6"/>
      <c r="B28" s="6"/>
      <c r="C28" s="6"/>
      <c r="D28" s="6"/>
      <c r="E28" s="6"/>
      <c r="F28" s="6"/>
      <c r="G28" s="6"/>
      <c r="H28" s="124">
        <f t="shared" si="5"/>
        <v>2042</v>
      </c>
      <c r="I28" s="125">
        <f t="shared" si="12"/>
        <v>2.0135090814321854E-2</v>
      </c>
      <c r="J28" s="134">
        <f t="shared" si="11"/>
        <v>1</v>
      </c>
      <c r="K28" s="135">
        <f t="shared" si="0"/>
        <v>1</v>
      </c>
      <c r="L28" s="136">
        <f t="shared" si="8"/>
        <v>21752.370470405607</v>
      </c>
      <c r="M28" s="128">
        <f t="shared" si="9"/>
        <v>1349913.3492029514</v>
      </c>
      <c r="N28" s="128">
        <f>IF(H28=Year_Open_to_Traffic?,Calculations!$E$4,N27+(N27*I28))</f>
        <v>1189119.3848364626</v>
      </c>
      <c r="O28" s="128">
        <f>IF(AND(H28&gt;=Year_Open_to_Traffic?, Calculations!H28&lt;Year_Open_to_Traffic?+'Inputs &amp; Outputs'!C$21), 1, 0)</f>
        <v>1</v>
      </c>
      <c r="P28" s="65">
        <f t="shared" si="1"/>
        <v>160793.96436648886</v>
      </c>
      <c r="Q28" s="65">
        <f t="shared" si="2"/>
        <v>1</v>
      </c>
      <c r="R28" s="66">
        <f t="shared" si="3"/>
        <v>38.867513770085772</v>
      </c>
      <c r="S28" s="129">
        <f t="shared" si="4"/>
        <v>9249.4992037585562</v>
      </c>
      <c r="T28" s="130">
        <f t="shared" si="10"/>
        <v>5022.7887594651802</v>
      </c>
      <c r="U28" s="6"/>
      <c r="W28" s="63"/>
    </row>
    <row r="29" spans="1:23" x14ac:dyDescent="0.3">
      <c r="A29" s="6"/>
      <c r="B29" s="6"/>
      <c r="C29" s="6"/>
      <c r="D29" s="6"/>
      <c r="E29" s="6"/>
      <c r="F29" s="6"/>
      <c r="G29" s="6"/>
      <c r="H29" s="133">
        <f t="shared" si="5"/>
        <v>2043</v>
      </c>
      <c r="I29" s="125">
        <f t="shared" si="12"/>
        <v>2.0135090814321854E-2</v>
      </c>
      <c r="J29" s="134">
        <f t="shared" si="11"/>
        <v>1</v>
      </c>
      <c r="K29" s="135">
        <f t="shared" si="0"/>
        <v>1</v>
      </c>
      <c r="L29" s="136">
        <f t="shared" si="8"/>
        <v>22190.356425253998</v>
      </c>
      <c r="M29" s="128">
        <f t="shared" si="9"/>
        <v>1377093.9770806183</v>
      </c>
      <c r="N29" s="128">
        <f>IF(H29=Year_Open_to_Traffic?,Calculations!$E$4,N28+(N28*I29))</f>
        <v>1213062.4116392152</v>
      </c>
      <c r="O29" s="128">
        <f>IF(AND(H29&gt;=Year_Open_to_Traffic?, Calculations!H29&lt;Year_Open_to_Traffic?+'Inputs &amp; Outputs'!C$21), 1, 0)</f>
        <v>1</v>
      </c>
      <c r="P29" s="65">
        <f t="shared" si="1"/>
        <v>164031.56544140307</v>
      </c>
      <c r="Q29" s="65">
        <f t="shared" si="2"/>
        <v>1</v>
      </c>
      <c r="R29" s="66">
        <f t="shared" si="3"/>
        <v>40.033539183188338</v>
      </c>
      <c r="S29" s="129">
        <f t="shared" si="4"/>
        <v>9718.810871519634</v>
      </c>
      <c r="T29" s="130">
        <f t="shared" si="10"/>
        <v>5118.9532097929332</v>
      </c>
      <c r="U29" s="6"/>
      <c r="W29" s="63"/>
    </row>
    <row r="30" spans="1:23" x14ac:dyDescent="0.3">
      <c r="A30" s="6"/>
      <c r="B30" s="6"/>
      <c r="C30" s="6"/>
      <c r="D30" s="6"/>
      <c r="E30" s="6"/>
      <c r="F30" s="6"/>
      <c r="G30" s="6"/>
      <c r="H30" s="133">
        <f t="shared" si="5"/>
        <v>2044</v>
      </c>
      <c r="I30" s="125">
        <f t="shared" si="12"/>
        <v>2.0135090814321854E-2</v>
      </c>
      <c r="J30" s="134">
        <f t="shared" si="11"/>
        <v>1</v>
      </c>
      <c r="K30" s="135">
        <f t="shared" si="0"/>
        <v>1</v>
      </c>
      <c r="L30" s="136">
        <f t="shared" si="8"/>
        <v>22637.161267078656</v>
      </c>
      <c r="M30" s="128">
        <f t="shared" si="9"/>
        <v>1404821.8893689921</v>
      </c>
      <c r="N30" s="128">
        <f>IF(H30=Year_Open_to_Traffic?,Calculations!$E$4,N29+(N29*I30))</f>
        <v>1237487.533461011</v>
      </c>
      <c r="O30" s="128">
        <f>IF(AND(H30&gt;=Year_Open_to_Traffic?, Calculations!H30&lt;Year_Open_to_Traffic?+'Inputs &amp; Outputs'!C$21), 1, 0)</f>
        <v>1</v>
      </c>
      <c r="P30" s="65">
        <f t="shared" si="1"/>
        <v>167334.35590798105</v>
      </c>
      <c r="Q30" s="65">
        <f t="shared" si="2"/>
        <v>1</v>
      </c>
      <c r="R30" s="66">
        <f t="shared" si="3"/>
        <v>41.234545358683995</v>
      </c>
      <c r="S30" s="129">
        <f t="shared" si="4"/>
        <v>10211.935011355648</v>
      </c>
      <c r="T30" s="130">
        <f t="shared" si="10"/>
        <v>5216.9587890133562</v>
      </c>
      <c r="U30" s="6"/>
      <c r="W30" s="63"/>
    </row>
    <row r="31" spans="1:23" x14ac:dyDescent="0.3">
      <c r="A31" s="6"/>
      <c r="B31" s="6"/>
      <c r="C31" s="6"/>
      <c r="D31" s="6"/>
      <c r="E31" s="6"/>
      <c r="F31" s="6"/>
      <c r="G31" s="6"/>
      <c r="H31" s="133">
        <f t="shared" ref="H31:H41" si="13">H30+1</f>
        <v>2045</v>
      </c>
      <c r="I31" s="125">
        <f t="shared" si="12"/>
        <v>2.0135090814321854E-2</v>
      </c>
      <c r="J31" s="134">
        <f t="shared" ref="J31:J41" si="14">J30*(1+IFERROR(_30_2045_V_C_Growth,_20_2045_V_C_Growth))</f>
        <v>1</v>
      </c>
      <c r="K31" s="135">
        <f t="shared" ref="K31:K41" si="15">-(ROUNDUP(J31,0)-2)</f>
        <v>1</v>
      </c>
      <c r="L31" s="136">
        <f t="shared" ref="L31:L41" si="16">(L30*I31)+L30</f>
        <v>23092.962564969734</v>
      </c>
      <c r="M31" s="128">
        <f t="shared" ref="M31:M41" si="17">IF(H31=Year_Open_to_Traffic?,$F$4,M30+(M30*I31))</f>
        <v>1433108.105689384</v>
      </c>
      <c r="N31" s="128">
        <f>IF(H31=Year_Open_to_Traffic?,Calculations!$E$4,N30+(N30*I31))</f>
        <v>1262404.4573288397</v>
      </c>
      <c r="O31" s="128">
        <f>IF(AND(H31&gt;=Year_Open_to_Traffic?, Calculations!H31&lt;Year_Open_to_Traffic?+'Inputs &amp; Outputs'!C$21), 1, 0)</f>
        <v>0</v>
      </c>
      <c r="P31" s="65">
        <f t="shared" ref="P31:P41" si="18">(M31-N31)*O31</f>
        <v>0</v>
      </c>
      <c r="Q31" s="65">
        <f t="shared" ref="Q31:Q41" si="19">IF(AND(H31&gt;=Year_Open_to_Traffic?,H31&lt;Year_Open_to_Traffic?+Years_to_include_in_BCA_Analysis),1,0)</f>
        <v>0</v>
      </c>
      <c r="R31" s="66">
        <f t="shared" ref="R31:R41" si="20">Value_of_Travel_Time__VoTT___2020*(1+Real_wage_growth_rate)^(H31-Base_Year)</f>
        <v>42.471581719444515</v>
      </c>
      <c r="S31" s="129">
        <f t="shared" ref="S31:S41" si="21">(P31*Q31)*(Vehicle_Occupancy*R31)/10^3</f>
        <v>0</v>
      </c>
      <c r="T31" s="130">
        <f t="shared" si="10"/>
        <v>0</v>
      </c>
      <c r="U31" s="6"/>
      <c r="W31" s="63"/>
    </row>
    <row r="32" spans="1:23" x14ac:dyDescent="0.3">
      <c r="A32" s="6"/>
      <c r="B32" s="6"/>
      <c r="C32" s="6"/>
      <c r="D32" s="6"/>
      <c r="E32" s="6"/>
      <c r="F32" s="6"/>
      <c r="G32" s="6"/>
      <c r="H32" s="133">
        <f t="shared" si="13"/>
        <v>2046</v>
      </c>
      <c r="I32" s="125">
        <f t="shared" si="12"/>
        <v>2.0135090814321854E-2</v>
      </c>
      <c r="J32" s="134">
        <f t="shared" si="14"/>
        <v>1</v>
      </c>
      <c r="K32" s="135">
        <f t="shared" si="15"/>
        <v>1</v>
      </c>
      <c r="L32" s="136">
        <f t="shared" si="16"/>
        <v>23557.941463387135</v>
      </c>
      <c r="M32" s="128">
        <f t="shared" si="17"/>
        <v>1461963.8675441805</v>
      </c>
      <c r="N32" s="128">
        <f>IF(H32=Year_Open_to_Traffic?,Calculations!$E$4,N31+(N31*I32))</f>
        <v>1287823.0857215605</v>
      </c>
      <c r="O32" s="128">
        <f>IF(AND(H32&gt;=Year_Open_to_Traffic?, Calculations!H32&lt;Year_Open_to_Traffic?+'Inputs &amp; Outputs'!C$21), 1, 0)</f>
        <v>0</v>
      </c>
      <c r="P32" s="65">
        <f t="shared" si="18"/>
        <v>0</v>
      </c>
      <c r="Q32" s="65">
        <f t="shared" si="19"/>
        <v>0</v>
      </c>
      <c r="R32" s="66">
        <f t="shared" si="20"/>
        <v>43.745729171027847</v>
      </c>
      <c r="S32" s="129">
        <f t="shared" si="21"/>
        <v>0</v>
      </c>
      <c r="T32" s="130">
        <f t="shared" si="10"/>
        <v>0</v>
      </c>
      <c r="U32" s="6"/>
      <c r="W32" s="63"/>
    </row>
    <row r="33" spans="1:23" x14ac:dyDescent="0.3">
      <c r="A33" s="6"/>
      <c r="B33" s="6"/>
      <c r="C33" s="6"/>
      <c r="D33" s="6"/>
      <c r="E33" s="6"/>
      <c r="F33" s="6"/>
      <c r="G33" s="6"/>
      <c r="H33" s="133">
        <f t="shared" si="13"/>
        <v>2047</v>
      </c>
      <c r="I33" s="125">
        <f t="shared" si="12"/>
        <v>2.0135090814321854E-2</v>
      </c>
      <c r="J33" s="134">
        <f t="shared" si="14"/>
        <v>1</v>
      </c>
      <c r="K33" s="135">
        <f t="shared" si="15"/>
        <v>1</v>
      </c>
      <c r="L33" s="136">
        <f t="shared" si="16"/>
        <v>24032.282754150914</v>
      </c>
      <c r="M33" s="128">
        <f t="shared" si="17"/>
        <v>1491400.6427844397</v>
      </c>
      <c r="N33" s="128">
        <f>IF(H33=Year_Open_to_Traffic?,Calculations!$E$4,N32+(N32*I33))</f>
        <v>1313753.5205053443</v>
      </c>
      <c r="O33" s="128">
        <f>IF(AND(H33&gt;=Year_Open_to_Traffic?, Calculations!H33&lt;Year_Open_to_Traffic?+'Inputs &amp; Outputs'!C$21), 1, 0)</f>
        <v>0</v>
      </c>
      <c r="P33" s="65">
        <f t="shared" si="18"/>
        <v>0</v>
      </c>
      <c r="Q33" s="65">
        <f t="shared" si="19"/>
        <v>0</v>
      </c>
      <c r="R33" s="66">
        <f t="shared" si="20"/>
        <v>45.058101046158683</v>
      </c>
      <c r="S33" s="129">
        <f t="shared" si="21"/>
        <v>0</v>
      </c>
      <c r="T33" s="130">
        <f t="shared" si="10"/>
        <v>0</v>
      </c>
      <c r="U33" s="6"/>
      <c r="W33" s="63"/>
    </row>
    <row r="34" spans="1:23" x14ac:dyDescent="0.3">
      <c r="A34" s="6"/>
      <c r="B34" s="6"/>
      <c r="C34" s="6"/>
      <c r="D34" s="6"/>
      <c r="E34" s="6"/>
      <c r="F34" s="6"/>
      <c r="G34" s="6"/>
      <c r="H34" s="133">
        <f t="shared" si="13"/>
        <v>2048</v>
      </c>
      <c r="I34" s="125">
        <f t="shared" si="12"/>
        <v>2.0135090814321854E-2</v>
      </c>
      <c r="J34" s="134">
        <f t="shared" si="14"/>
        <v>1</v>
      </c>
      <c r="K34" s="135">
        <f t="shared" si="15"/>
        <v>1</v>
      </c>
      <c r="L34" s="136">
        <f t="shared" si="16"/>
        <v>24516.174949881202</v>
      </c>
      <c r="M34" s="128">
        <f t="shared" si="17"/>
        <v>1521430.1301674424</v>
      </c>
      <c r="N34" s="128">
        <f>IF(H34=Year_Open_to_Traffic?,Calculations!$E$4,N33+(N33*I34))</f>
        <v>1340206.0669483545</v>
      </c>
      <c r="O34" s="128">
        <f>IF(AND(H34&gt;=Year_Open_to_Traffic?, Calculations!H34&lt;Year_Open_to_Traffic?+'Inputs &amp; Outputs'!C$21), 1, 0)</f>
        <v>0</v>
      </c>
      <c r="P34" s="65">
        <f t="shared" si="18"/>
        <v>0</v>
      </c>
      <c r="Q34" s="65">
        <f t="shared" si="19"/>
        <v>0</v>
      </c>
      <c r="R34" s="66">
        <f t="shared" si="20"/>
        <v>46.409844077543447</v>
      </c>
      <c r="S34" s="129">
        <f t="shared" si="21"/>
        <v>0</v>
      </c>
      <c r="T34" s="130">
        <f t="shared" si="10"/>
        <v>0</v>
      </c>
      <c r="U34" s="6"/>
      <c r="W34" s="63"/>
    </row>
    <row r="35" spans="1:23" x14ac:dyDescent="0.3">
      <c r="A35" s="6"/>
      <c r="B35" s="6"/>
      <c r="C35" s="6"/>
      <c r="D35" s="6"/>
      <c r="E35" s="6"/>
      <c r="F35" s="6"/>
      <c r="G35" s="6"/>
      <c r="H35" s="133">
        <f t="shared" si="13"/>
        <v>2049</v>
      </c>
      <c r="I35" s="125">
        <f t="shared" si="12"/>
        <v>2.0135090814321854E-2</v>
      </c>
      <c r="J35" s="134">
        <f t="shared" si="14"/>
        <v>1</v>
      </c>
      <c r="K35" s="135">
        <f t="shared" si="15"/>
        <v>1</v>
      </c>
      <c r="L35" s="136">
        <f t="shared" si="16"/>
        <v>25009.810358916864</v>
      </c>
      <c r="M35" s="128">
        <f t="shared" si="17"/>
        <v>1552064.2640060093</v>
      </c>
      <c r="N35" s="128">
        <f>IF(H35=Year_Open_to_Traffic?,Calculations!$E$4,N34+(N34*I35))</f>
        <v>1367191.2378162646</v>
      </c>
      <c r="O35" s="128">
        <f>IF(AND(H35&gt;=Year_Open_to_Traffic?, Calculations!H35&lt;Year_Open_to_Traffic?+'Inputs &amp; Outputs'!C$21), 1, 0)</f>
        <v>0</v>
      </c>
      <c r="P35" s="65">
        <f t="shared" si="18"/>
        <v>0</v>
      </c>
      <c r="Q35" s="65">
        <f t="shared" si="19"/>
        <v>0</v>
      </c>
      <c r="R35" s="66">
        <f t="shared" si="20"/>
        <v>47.802139399869745</v>
      </c>
      <c r="S35" s="129">
        <f t="shared" si="21"/>
        <v>0</v>
      </c>
      <c r="T35" s="130">
        <f t="shared" si="10"/>
        <v>0</v>
      </c>
      <c r="U35" s="6"/>
      <c r="W35" s="63"/>
    </row>
    <row r="36" spans="1:23" x14ac:dyDescent="0.3">
      <c r="A36" s="6"/>
      <c r="B36" s="6"/>
      <c r="C36" s="6"/>
      <c r="D36" s="6"/>
      <c r="E36" s="6"/>
      <c r="F36" s="6"/>
      <c r="G36" s="6"/>
      <c r="H36" s="133">
        <f t="shared" si="13"/>
        <v>2050</v>
      </c>
      <c r="I36" s="125">
        <f t="shared" si="12"/>
        <v>2.0135090814321854E-2</v>
      </c>
      <c r="J36" s="134">
        <f t="shared" si="14"/>
        <v>1</v>
      </c>
      <c r="K36" s="135">
        <f t="shared" si="15"/>
        <v>1</v>
      </c>
      <c r="L36" s="136">
        <f t="shared" si="16"/>
        <v>25513.385161742623</v>
      </c>
      <c r="M36" s="128">
        <f t="shared" si="17"/>
        <v>1583315.2189114338</v>
      </c>
      <c r="N36" s="128">
        <f>IF(H36=Year_Open_to_Traffic?,Calculations!$E$4,N35+(N35*I36))</f>
        <v>1394719.7575502403</v>
      </c>
      <c r="O36" s="128">
        <f>IF(AND(H36&gt;=Year_Open_to_Traffic?, Calculations!H36&lt;Year_Open_to_Traffic?+'Inputs &amp; Outputs'!C$21), 1, 0)</f>
        <v>0</v>
      </c>
      <c r="P36" s="65">
        <f t="shared" si="18"/>
        <v>0</v>
      </c>
      <c r="Q36" s="65">
        <f t="shared" si="19"/>
        <v>0</v>
      </c>
      <c r="R36" s="66">
        <f t="shared" si="20"/>
        <v>49.236203581865837</v>
      </c>
      <c r="S36" s="129">
        <f t="shared" si="21"/>
        <v>0</v>
      </c>
      <c r="T36" s="130">
        <f t="shared" si="10"/>
        <v>0</v>
      </c>
      <c r="U36" s="6"/>
      <c r="W36" s="63"/>
    </row>
    <row r="37" spans="1:23" x14ac:dyDescent="0.3">
      <c r="A37" s="6"/>
      <c r="B37" s="6"/>
      <c r="C37" s="6"/>
      <c r="D37" s="6"/>
      <c r="E37" s="6"/>
      <c r="F37" s="6"/>
      <c r="G37" s="6"/>
      <c r="H37" s="133">
        <f t="shared" si="13"/>
        <v>2051</v>
      </c>
      <c r="I37" s="125">
        <f t="shared" si="12"/>
        <v>2.0135090814321854E-2</v>
      </c>
      <c r="J37" s="134">
        <f t="shared" si="14"/>
        <v>1</v>
      </c>
      <c r="K37" s="135">
        <f t="shared" si="15"/>
        <v>1</v>
      </c>
      <c r="L37" s="136">
        <f t="shared" si="16"/>
        <v>26027.099488955082</v>
      </c>
      <c r="M37" s="128">
        <f t="shared" si="17"/>
        <v>1615195.4146319134</v>
      </c>
      <c r="N37" s="128">
        <f>IF(H37=Year_Open_to_Traffic?,Calculations!$E$4,N36+(N36*I37))</f>
        <v>1422802.5665290433</v>
      </c>
      <c r="O37" s="128">
        <f>IF(AND(H37&gt;=Year_Open_to_Traffic?, Calculations!H37&lt;Year_Open_to_Traffic?+'Inputs &amp; Outputs'!C$21), 1, 0)</f>
        <v>0</v>
      </c>
      <c r="P37" s="65">
        <f t="shared" si="18"/>
        <v>0</v>
      </c>
      <c r="Q37" s="65">
        <f t="shared" si="19"/>
        <v>0</v>
      </c>
      <c r="R37" s="66">
        <f t="shared" si="20"/>
        <v>50.713289689321812</v>
      </c>
      <c r="S37" s="129">
        <f t="shared" si="21"/>
        <v>0</v>
      </c>
      <c r="T37" s="130">
        <f t="shared" si="10"/>
        <v>0</v>
      </c>
      <c r="U37" s="6"/>
      <c r="W37" s="63"/>
    </row>
    <row r="38" spans="1:23" x14ac:dyDescent="0.3">
      <c r="A38" s="6"/>
      <c r="B38" s="6"/>
      <c r="C38" s="6"/>
      <c r="D38" s="6"/>
      <c r="E38" s="6"/>
      <c r="F38" s="6"/>
      <c r="G38" s="6"/>
      <c r="H38" s="133">
        <f t="shared" si="13"/>
        <v>2052</v>
      </c>
      <c r="I38" s="125">
        <f t="shared" si="12"/>
        <v>2.0135090814321854E-2</v>
      </c>
      <c r="J38" s="134">
        <f t="shared" si="14"/>
        <v>1</v>
      </c>
      <c r="K38" s="135">
        <f t="shared" si="15"/>
        <v>1</v>
      </c>
      <c r="L38" s="136">
        <f t="shared" si="16"/>
        <v>26551.157500798581</v>
      </c>
      <c r="M38" s="128">
        <f t="shared" si="17"/>
        <v>1647717.5209884031</v>
      </c>
      <c r="N38" s="128">
        <f>IF(H38=Year_Open_to_Traffic?,Calculations!$E$4,N37+(N37*I38))</f>
        <v>1451450.8254169556</v>
      </c>
      <c r="O38" s="128">
        <f>IF(AND(H38&gt;=Year_Open_to_Traffic?, Calculations!H38&lt;Year_Open_to_Traffic?+'Inputs &amp; Outputs'!C$21), 1, 0)</f>
        <v>0</v>
      </c>
      <c r="P38" s="65">
        <f t="shared" si="18"/>
        <v>0</v>
      </c>
      <c r="Q38" s="65">
        <f t="shared" si="19"/>
        <v>0</v>
      </c>
      <c r="R38" s="66">
        <f t="shared" si="20"/>
        <v>52.234688380001465</v>
      </c>
      <c r="S38" s="129">
        <f t="shared" si="21"/>
        <v>0</v>
      </c>
      <c r="T38" s="130">
        <f t="shared" si="10"/>
        <v>0</v>
      </c>
      <c r="U38" s="6"/>
      <c r="W38" s="63"/>
    </row>
    <row r="39" spans="1:23" x14ac:dyDescent="0.3">
      <c r="A39" s="6"/>
      <c r="B39" s="6"/>
      <c r="C39" s="6"/>
      <c r="D39" s="6"/>
      <c r="E39" s="6"/>
      <c r="F39" s="6"/>
      <c r="G39" s="6"/>
      <c r="H39" s="133">
        <f t="shared" si="13"/>
        <v>2053</v>
      </c>
      <c r="I39" s="125">
        <f t="shared" si="12"/>
        <v>2.0135090814321854E-2</v>
      </c>
      <c r="J39" s="134">
        <f t="shared" si="14"/>
        <v>1</v>
      </c>
      <c r="K39" s="135">
        <f t="shared" si="15"/>
        <v>1</v>
      </c>
      <c r="L39" s="136">
        <f t="shared" si="16"/>
        <v>27085.767468302525</v>
      </c>
      <c r="M39" s="128">
        <f t="shared" si="17"/>
        <v>1680894.4629098538</v>
      </c>
      <c r="N39" s="128">
        <f>IF(H39=Year_Open_to_Traffic?,Calculations!$E$4,N38+(N38*I39))</f>
        <v>1480675.9195992486</v>
      </c>
      <c r="O39" s="128">
        <f>IF(AND(H39&gt;=Year_Open_to_Traffic?, Calculations!H39&lt;Year_Open_to_Traffic?+'Inputs &amp; Outputs'!C$21), 1, 0)</f>
        <v>0</v>
      </c>
      <c r="P39" s="65">
        <f t="shared" si="18"/>
        <v>0</v>
      </c>
      <c r="Q39" s="65">
        <f t="shared" si="19"/>
        <v>0</v>
      </c>
      <c r="R39" s="66">
        <f t="shared" si="20"/>
        <v>53.801729031401514</v>
      </c>
      <c r="S39" s="129">
        <f t="shared" si="21"/>
        <v>0</v>
      </c>
      <c r="T39" s="130">
        <f t="shared" si="10"/>
        <v>0</v>
      </c>
      <c r="U39" s="6"/>
      <c r="W39" s="63"/>
    </row>
    <row r="40" spans="1:23" x14ac:dyDescent="0.3">
      <c r="A40" s="6"/>
      <c r="B40" s="6"/>
      <c r="C40" s="6"/>
      <c r="D40" s="6"/>
      <c r="E40" s="6"/>
      <c r="F40" s="6"/>
      <c r="G40" s="6"/>
      <c r="H40" s="133">
        <f t="shared" si="13"/>
        <v>2054</v>
      </c>
      <c r="I40" s="125">
        <f t="shared" si="12"/>
        <v>2.0135090814321854E-2</v>
      </c>
      <c r="J40" s="134">
        <f t="shared" si="14"/>
        <v>1</v>
      </c>
      <c r="K40" s="135">
        <f t="shared" si="15"/>
        <v>1</v>
      </c>
      <c r="L40" s="136">
        <f t="shared" si="16"/>
        <v>27631.1418560524</v>
      </c>
      <c r="M40" s="128">
        <f t="shared" si="17"/>
        <v>1714739.4255698344</v>
      </c>
      <c r="N40" s="128">
        <f>IF(H40=Year_Open_to_Traffic?,Calculations!$E$4,N39+(N39*I40))</f>
        <v>1510489.463706959</v>
      </c>
      <c r="O40" s="128">
        <f>IF(AND(H40&gt;=Year_Open_to_Traffic?, Calculations!H40&lt;Year_Open_to_Traffic?+'Inputs &amp; Outputs'!C$21), 1, 0)</f>
        <v>0</v>
      </c>
      <c r="P40" s="65">
        <f t="shared" si="18"/>
        <v>0</v>
      </c>
      <c r="Q40" s="65">
        <f t="shared" si="19"/>
        <v>0</v>
      </c>
      <c r="R40" s="66">
        <f t="shared" si="20"/>
        <v>55.415780902343549</v>
      </c>
      <c r="S40" s="129">
        <f t="shared" si="21"/>
        <v>0</v>
      </c>
      <c r="T40" s="130">
        <f t="shared" si="10"/>
        <v>0</v>
      </c>
      <c r="U40" s="6"/>
      <c r="W40" s="63"/>
    </row>
    <row r="41" spans="1:23" x14ac:dyDescent="0.3">
      <c r="A41" s="6"/>
      <c r="B41" s="6"/>
      <c r="C41" s="6"/>
      <c r="D41" s="6"/>
      <c r="E41" s="6"/>
      <c r="F41" s="6"/>
      <c r="G41" s="6"/>
      <c r="H41" s="133">
        <f t="shared" si="13"/>
        <v>2055</v>
      </c>
      <c r="I41" s="125">
        <f t="shared" si="12"/>
        <v>2.0135090814321854E-2</v>
      </c>
      <c r="J41" s="134">
        <f t="shared" si="14"/>
        <v>1</v>
      </c>
      <c r="K41" s="135">
        <f t="shared" si="15"/>
        <v>1</v>
      </c>
      <c r="L41" s="136">
        <f t="shared" si="16"/>
        <v>28187.497406627426</v>
      </c>
      <c r="M41" s="128">
        <f t="shared" si="17"/>
        <v>1749265.8596265812</v>
      </c>
      <c r="N41" s="128">
        <f>IF(H41=Year_Open_to_Traffic?,Calculations!$E$4,N40+(N40*I41))</f>
        <v>1540903.3062327749</v>
      </c>
      <c r="O41" s="128">
        <f>IF(AND(H41&gt;=Year_Open_to_Traffic?, Calculations!H41&lt;Year_Open_to_Traffic?+'Inputs &amp; Outputs'!C$21), 1, 0)</f>
        <v>0</v>
      </c>
      <c r="P41" s="65">
        <f t="shared" si="18"/>
        <v>0</v>
      </c>
      <c r="Q41" s="65">
        <f t="shared" si="19"/>
        <v>0</v>
      </c>
      <c r="R41" s="66">
        <f t="shared" si="20"/>
        <v>57.078254329413859</v>
      </c>
      <c r="S41" s="129">
        <f t="shared" si="21"/>
        <v>0</v>
      </c>
      <c r="T41" s="130">
        <f t="shared" si="10"/>
        <v>0</v>
      </c>
      <c r="U41" s="6"/>
      <c r="W41" s="63"/>
    </row>
    <row r="42" spans="1:23" x14ac:dyDescent="0.3">
      <c r="A42" s="6"/>
      <c r="B42" s="6"/>
      <c r="C42" s="6"/>
      <c r="D42" s="6"/>
      <c r="E42" s="6"/>
      <c r="F42" s="6"/>
      <c r="G42" s="6"/>
      <c r="H42" s="144"/>
      <c r="I42" s="145"/>
      <c r="J42" s="146"/>
      <c r="K42" s="147"/>
      <c r="L42" s="144"/>
      <c r="M42" s="144"/>
      <c r="N42" s="144"/>
      <c r="O42" s="144"/>
      <c r="P42" s="144"/>
      <c r="Q42" s="144"/>
      <c r="R42" s="144"/>
      <c r="S42" s="148"/>
      <c r="T42" s="130">
        <f>SUM(T4:T36)</f>
        <v>101474.55960241637</v>
      </c>
      <c r="U42" s="6"/>
      <c r="W42" s="63"/>
    </row>
    <row r="43" spans="1:23" x14ac:dyDescent="0.3">
      <c r="A43" s="6"/>
      <c r="B43" s="6"/>
      <c r="C43" s="6"/>
      <c r="D43" s="6"/>
      <c r="E43" s="6"/>
      <c r="F43" s="6"/>
      <c r="G43" s="6"/>
      <c r="H43" s="6"/>
      <c r="I43" s="149"/>
      <c r="J43" s="150"/>
      <c r="K43" s="151"/>
      <c r="L43" s="6"/>
      <c r="M43" s="6"/>
      <c r="N43" s="6"/>
      <c r="O43" s="6"/>
      <c r="P43" s="6"/>
      <c r="Q43" s="6"/>
      <c r="R43" s="6"/>
      <c r="S43" s="6"/>
      <c r="T43" s="6"/>
      <c r="U43" s="6"/>
    </row>
  </sheetData>
  <sheetProtection algorithmName="SHA-512" hashValue="F+UNgLE7U6bNJCUAq08BJ8rFBaY66eGDNsZNll0DLEOzaMN6DtSisBZl8Ya9QU5daIV9Qay9SAYECp1J/392RA==" saltValue="9sYantd4IBte7tFWHrF4FA==" spinCount="100000" sheet="1" objects="1" scenarios="1"/>
  <mergeCells count="2">
    <mergeCell ref="A11:B11"/>
    <mergeCell ref="A16:B16"/>
  </mergeCells>
  <pageMargins left="0.25" right="0.25" top="0.75" bottom="0.75" header="0.3" footer="0.3"/>
  <pageSetup paperSize="3" scale="27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1"/>
    <pageSetUpPr fitToPage="1"/>
  </sheetPr>
  <dimension ref="B2:C18"/>
  <sheetViews>
    <sheetView zoomScale="160" zoomScaleNormal="160" workbookViewId="0">
      <selection activeCell="D8" sqref="D8"/>
    </sheetView>
  </sheetViews>
  <sheetFormatPr defaultRowHeight="14.4" x14ac:dyDescent="0.3"/>
  <cols>
    <col min="1" max="1" width="3.44140625" customWidth="1"/>
    <col min="2" max="2" width="35.33203125" customWidth="1"/>
    <col min="3" max="3" width="22.6640625" bestFit="1" customWidth="1"/>
    <col min="4" max="4" width="20" bestFit="1" customWidth="1"/>
  </cols>
  <sheetData>
    <row r="2" spans="2:3" x14ac:dyDescent="0.3">
      <c r="B2" s="2" t="s">
        <v>189</v>
      </c>
    </row>
    <row r="4" spans="2:3" x14ac:dyDescent="0.3">
      <c r="B4" s="2" t="s">
        <v>32</v>
      </c>
    </row>
    <row r="5" spans="2:3" x14ac:dyDescent="0.3">
      <c r="B5" s="32" t="s">
        <v>34</v>
      </c>
      <c r="C5" s="34">
        <v>2022</v>
      </c>
    </row>
    <row r="6" spans="2:3" x14ac:dyDescent="0.3">
      <c r="B6" s="32" t="s">
        <v>35</v>
      </c>
      <c r="C6" s="48">
        <v>3.1E-2</v>
      </c>
    </row>
    <row r="7" spans="2:3" x14ac:dyDescent="0.3">
      <c r="B7" s="29"/>
      <c r="C7" s="30"/>
    </row>
    <row r="8" spans="2:3" x14ac:dyDescent="0.3">
      <c r="B8" s="31" t="s">
        <v>33</v>
      </c>
      <c r="C8" s="30"/>
    </row>
    <row r="9" spans="2:3" x14ac:dyDescent="0.3">
      <c r="B9" s="32" t="s">
        <v>241</v>
      </c>
      <c r="C9" s="33">
        <f>'Value of Travel Time'!C21</f>
        <v>21.52</v>
      </c>
    </row>
    <row r="10" spans="2:3" x14ac:dyDescent="0.3">
      <c r="B10" s="52" t="s">
        <v>218</v>
      </c>
      <c r="C10" s="53">
        <v>0.03</v>
      </c>
    </row>
    <row r="13" spans="2:3" ht="14.4" customHeight="1" x14ac:dyDescent="0.3">
      <c r="B13" s="177" t="s">
        <v>244</v>
      </c>
      <c r="C13" s="177"/>
    </row>
    <row r="14" spans="2:3" x14ac:dyDescent="0.3">
      <c r="B14" s="177"/>
      <c r="C14" s="177"/>
    </row>
    <row r="15" spans="2:3" x14ac:dyDescent="0.3">
      <c r="B15" s="177"/>
      <c r="C15" s="177"/>
    </row>
    <row r="16" spans="2:3" x14ac:dyDescent="0.3">
      <c r="B16" s="177"/>
      <c r="C16" s="177"/>
    </row>
    <row r="17" spans="2:3" x14ac:dyDescent="0.3">
      <c r="B17" s="177"/>
      <c r="C17" s="177"/>
    </row>
    <row r="18" spans="2:3" x14ac:dyDescent="0.3">
      <c r="B18" s="177"/>
      <c r="C18" s="177"/>
    </row>
  </sheetData>
  <sheetProtection algorithmName="SHA-512" hashValue="mly7WPKwBJzG2TioH4tenjMitfCpng9yfkksODsIOjHb/bpMYWCpdWJkPPTBbr7TD63z2b4o0pqQWkPtCkmzSg==" saltValue="d4COg9aZcZc5HghtTqE6TA==" spinCount="100000" sheet="1"/>
  <mergeCells count="1">
    <mergeCell ref="B13:C18"/>
  </mergeCells>
  <pageMargins left="0.25" right="0.25"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1"/>
  </sheetPr>
  <dimension ref="B2:J21"/>
  <sheetViews>
    <sheetView zoomScale="130" zoomScaleNormal="130" workbookViewId="0">
      <selection activeCell="D28" sqref="D28"/>
    </sheetView>
  </sheetViews>
  <sheetFormatPr defaultRowHeight="14.4" x14ac:dyDescent="0.3"/>
  <cols>
    <col min="2" max="2" width="14.44140625" customWidth="1"/>
    <col min="3" max="3" width="22.44140625" bestFit="1" customWidth="1"/>
    <col min="4" max="4" width="23.109375" bestFit="1" customWidth="1"/>
    <col min="5" max="5" width="14" customWidth="1"/>
    <col min="7" max="7" width="10.109375" bestFit="1" customWidth="1"/>
  </cols>
  <sheetData>
    <row r="2" spans="2:8" x14ac:dyDescent="0.3">
      <c r="B2" s="3" t="s">
        <v>203</v>
      </c>
    </row>
    <row r="3" spans="2:8" x14ac:dyDescent="0.3">
      <c r="B3" s="3"/>
    </row>
    <row r="4" spans="2:8" hidden="1" x14ac:dyDescent="0.3">
      <c r="B4" s="54" t="s">
        <v>0</v>
      </c>
      <c r="C4" s="54" t="s">
        <v>1</v>
      </c>
      <c r="D4" s="55">
        <v>3006841</v>
      </c>
      <c r="E4" s="56">
        <f t="shared" ref="E4:E12" si="0">D4/D$12</f>
        <v>0.12557431780451911</v>
      </c>
      <c r="F4" s="54"/>
      <c r="G4" s="54" t="s">
        <v>2</v>
      </c>
      <c r="H4" s="56">
        <f>SUMIF($C$4:$C$11,G4,$E$4:$E$11)</f>
        <v>0.75146889419806362</v>
      </c>
    </row>
    <row r="5" spans="2:8" hidden="1" x14ac:dyDescent="0.3">
      <c r="B5" s="54" t="s">
        <v>0</v>
      </c>
      <c r="C5" s="54" t="s">
        <v>2</v>
      </c>
      <c r="D5" s="55">
        <v>12248090</v>
      </c>
      <c r="E5" s="56">
        <f t="shared" si="0"/>
        <v>0.51151542304975628</v>
      </c>
      <c r="F5" s="54"/>
      <c r="G5" s="54" t="s">
        <v>1</v>
      </c>
      <c r="H5" s="56">
        <f>SUMIF($C$4:$C$11,G5,$E$4:$E$11)</f>
        <v>0.21391573997984439</v>
      </c>
    </row>
    <row r="6" spans="2:8" hidden="1" x14ac:dyDescent="0.3">
      <c r="B6" s="54" t="s">
        <v>3</v>
      </c>
      <c r="C6" s="54" t="s">
        <v>1</v>
      </c>
      <c r="D6" s="55">
        <v>2053465</v>
      </c>
      <c r="E6" s="56">
        <f t="shared" si="0"/>
        <v>8.5758597315407373E-2</v>
      </c>
      <c r="F6" s="54"/>
      <c r="G6" s="54" t="s">
        <v>4</v>
      </c>
      <c r="H6" s="56">
        <f>SUMIF($C$4:$C$11,G6,$E$4:$E$11)</f>
        <v>3.4615365822091917E-2</v>
      </c>
    </row>
    <row r="7" spans="2:8" hidden="1" x14ac:dyDescent="0.3">
      <c r="B7" s="54" t="s">
        <v>3</v>
      </c>
      <c r="C7" s="54" t="s">
        <v>2</v>
      </c>
      <c r="D7" s="55">
        <v>5512163</v>
      </c>
      <c r="E7" s="56">
        <f t="shared" si="0"/>
        <v>0.23020376147335739</v>
      </c>
      <c r="F7" s="54"/>
      <c r="G7" s="54"/>
      <c r="H7" s="56">
        <f>SUM(H4:H6)</f>
        <v>0.99999999999999989</v>
      </c>
    </row>
    <row r="8" spans="2:8" hidden="1" x14ac:dyDescent="0.3">
      <c r="B8" s="54" t="s">
        <v>56</v>
      </c>
      <c r="C8" s="54" t="s">
        <v>4</v>
      </c>
      <c r="D8" s="55">
        <v>108311</v>
      </c>
      <c r="E8" s="56">
        <f t="shared" si="0"/>
        <v>4.5233785011330055E-3</v>
      </c>
      <c r="F8" s="54"/>
      <c r="G8" s="54"/>
      <c r="H8" s="54"/>
    </row>
    <row r="9" spans="2:8" hidden="1" x14ac:dyDescent="0.3">
      <c r="B9" s="54" t="s">
        <v>57</v>
      </c>
      <c r="C9" s="54" t="s">
        <v>4</v>
      </c>
      <c r="D9" s="55">
        <v>720544</v>
      </c>
      <c r="E9" s="56">
        <f t="shared" si="0"/>
        <v>3.0091987320958909E-2</v>
      </c>
      <c r="F9" s="54"/>
      <c r="G9" s="54"/>
      <c r="H9" s="54"/>
    </row>
    <row r="10" spans="2:8" hidden="1" x14ac:dyDescent="0.3">
      <c r="B10" s="54" t="s">
        <v>5</v>
      </c>
      <c r="C10" s="54" t="s">
        <v>1</v>
      </c>
      <c r="D10" s="55">
        <v>61845</v>
      </c>
      <c r="E10" s="56">
        <f t="shared" si="0"/>
        <v>2.5828248599179286E-3</v>
      </c>
      <c r="F10" s="54"/>
      <c r="G10" s="54"/>
      <c r="H10" s="54"/>
    </row>
    <row r="11" spans="2:8" hidden="1" x14ac:dyDescent="0.3">
      <c r="B11" s="54" t="s">
        <v>6</v>
      </c>
      <c r="C11" s="54" t="s">
        <v>2</v>
      </c>
      <c r="D11" s="55">
        <v>233454</v>
      </c>
      <c r="E11" s="56">
        <f t="shared" si="0"/>
        <v>9.7497096749499558E-3</v>
      </c>
      <c r="F11" s="54"/>
      <c r="G11" s="54"/>
      <c r="H11" s="54"/>
    </row>
    <row r="12" spans="2:8" hidden="1" x14ac:dyDescent="0.3">
      <c r="B12" s="54"/>
      <c r="C12" s="54"/>
      <c r="D12" s="57">
        <f>SUM(D4:D11)</f>
        <v>23944713</v>
      </c>
      <c r="E12" s="56">
        <f t="shared" si="0"/>
        <v>1</v>
      </c>
      <c r="F12" s="54"/>
      <c r="G12" s="54"/>
      <c r="H12" s="54"/>
    </row>
    <row r="13" spans="2:8" hidden="1" x14ac:dyDescent="0.3">
      <c r="B13" s="54"/>
      <c r="C13" s="54"/>
      <c r="D13" s="54"/>
      <c r="E13" s="54"/>
      <c r="F13" s="54"/>
      <c r="G13" s="54"/>
      <c r="H13" s="54"/>
    </row>
    <row r="14" spans="2:8" x14ac:dyDescent="0.3">
      <c r="B14" s="54"/>
      <c r="C14" s="54"/>
      <c r="D14" s="54"/>
      <c r="E14" s="54"/>
      <c r="F14" s="54"/>
      <c r="G14" s="54"/>
      <c r="H14" s="54"/>
    </row>
    <row r="15" spans="2:8" x14ac:dyDescent="0.3">
      <c r="B15" s="58" t="s">
        <v>243</v>
      </c>
      <c r="C15" s="54"/>
      <c r="D15" s="54"/>
      <c r="E15" s="54"/>
      <c r="F15" s="54"/>
      <c r="G15" s="54"/>
      <c r="H15" s="54"/>
    </row>
    <row r="16" spans="2:8" x14ac:dyDescent="0.3">
      <c r="B16" s="54"/>
      <c r="C16" s="54"/>
      <c r="D16" s="54"/>
      <c r="E16" s="54"/>
      <c r="F16" s="54"/>
      <c r="G16" s="54"/>
      <c r="H16" s="54"/>
    </row>
    <row r="17" spans="2:10" x14ac:dyDescent="0.3">
      <c r="B17" s="54"/>
      <c r="C17" s="59" t="s">
        <v>242</v>
      </c>
      <c r="D17" s="59"/>
      <c r="E17" s="59"/>
      <c r="F17" s="54"/>
      <c r="G17" s="54"/>
      <c r="H17" s="54"/>
    </row>
    <row r="18" spans="2:10" x14ac:dyDescent="0.3">
      <c r="B18" s="60" t="s">
        <v>7</v>
      </c>
      <c r="C18" s="61">
        <v>17.899999999999999</v>
      </c>
      <c r="D18" s="62"/>
      <c r="E18" s="62"/>
      <c r="F18" s="54"/>
      <c r="G18" s="54"/>
      <c r="H18" s="54"/>
      <c r="J18" s="62"/>
    </row>
    <row r="19" spans="2:10" x14ac:dyDescent="0.3">
      <c r="B19" s="60" t="s">
        <v>8</v>
      </c>
      <c r="C19" s="61">
        <v>32.299999999999997</v>
      </c>
      <c r="D19" s="62"/>
      <c r="E19" s="62"/>
      <c r="F19" s="54"/>
      <c r="G19" s="54"/>
      <c r="H19" s="54"/>
      <c r="J19" s="62"/>
    </row>
    <row r="20" spans="2:10" x14ac:dyDescent="0.3">
      <c r="B20" s="60" t="s">
        <v>4</v>
      </c>
      <c r="C20" s="61">
        <v>33.5</v>
      </c>
      <c r="D20" s="62"/>
      <c r="E20" s="62"/>
      <c r="F20" s="54"/>
      <c r="G20" s="54"/>
      <c r="H20" s="54"/>
      <c r="J20" s="62"/>
    </row>
    <row r="21" spans="2:10" x14ac:dyDescent="0.3">
      <c r="B21" s="4" t="s">
        <v>9</v>
      </c>
      <c r="C21" s="5">
        <f>ROUND(SUMPRODUCT(C18:C20,H4:H6),2)</f>
        <v>21.52</v>
      </c>
      <c r="D21" s="62"/>
      <c r="E21" s="62"/>
      <c r="I21" s="81"/>
      <c r="J21" s="81"/>
    </row>
  </sheetData>
  <sheetProtection algorithmName="SHA-512" hashValue="/c4+dxRnuaiHnh9MrgQt8X4jRvPthFGzz5y29F2e2xy0uKDRQOuUEDo9w4D0OD5PCn/1Ns2CT1sDX16vArFSnQ==" saltValue="WH7+YCXHit624wMYXbzlQQ==" spinCount="100000" sheet="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1"/>
  </sheetPr>
  <dimension ref="B2:P81"/>
  <sheetViews>
    <sheetView topLeftCell="A70" zoomScale="115" zoomScaleNormal="115" workbookViewId="0">
      <selection activeCell="C81" sqref="C81"/>
    </sheetView>
  </sheetViews>
  <sheetFormatPr defaultRowHeight="14.4" x14ac:dyDescent="0.3"/>
  <cols>
    <col min="2" max="2" width="51.88671875" bestFit="1" customWidth="1"/>
    <col min="3" max="3" width="25.109375" bestFit="1" customWidth="1"/>
    <col min="4" max="7" width="10.77734375" hidden="1" customWidth="1"/>
    <col min="8" max="8" width="23.33203125" customWidth="1"/>
    <col min="9" max="9" width="12.44140625" bestFit="1" customWidth="1"/>
    <col min="11" max="12" width="12.88671875" customWidth="1"/>
    <col min="16" max="16" width="25" customWidth="1"/>
  </cols>
  <sheetData>
    <row r="2" spans="2:16" x14ac:dyDescent="0.3">
      <c r="B2" s="178" t="s">
        <v>163</v>
      </c>
      <c r="C2" s="178"/>
      <c r="D2" s="178"/>
      <c r="E2" s="178"/>
      <c r="F2" s="178"/>
      <c r="G2" s="178"/>
      <c r="H2" s="178"/>
      <c r="I2" s="178"/>
    </row>
    <row r="3" spans="2:16" x14ac:dyDescent="0.3">
      <c r="B3" s="179" t="s">
        <v>186</v>
      </c>
      <c r="C3" s="179"/>
      <c r="I3" s="70"/>
    </row>
    <row r="4" spans="2:16" ht="31.8" customHeight="1" x14ac:dyDescent="0.3">
      <c r="B4" s="64" t="s">
        <v>164</v>
      </c>
      <c r="C4" s="64" t="s">
        <v>211</v>
      </c>
      <c r="D4" s="80" t="s">
        <v>167</v>
      </c>
      <c r="E4" s="64" t="s">
        <v>168</v>
      </c>
      <c r="F4" s="64" t="s">
        <v>165</v>
      </c>
      <c r="G4" s="74" t="s">
        <v>166</v>
      </c>
      <c r="H4" s="76"/>
      <c r="L4" s="64" t="s">
        <v>78</v>
      </c>
      <c r="N4" s="64" t="s">
        <v>176</v>
      </c>
      <c r="P4" s="64" t="s">
        <v>192</v>
      </c>
    </row>
    <row r="5" spans="2:16" x14ac:dyDescent="0.3">
      <c r="B5" s="152" t="s">
        <v>236</v>
      </c>
      <c r="C5" s="158">
        <v>0</v>
      </c>
      <c r="D5" s="68">
        <v>0.1</v>
      </c>
      <c r="E5" s="68">
        <v>7.0000000000000007E-2</v>
      </c>
      <c r="F5" s="68">
        <v>0.2</v>
      </c>
      <c r="G5" s="75">
        <v>0.15</v>
      </c>
      <c r="H5" s="77"/>
      <c r="L5" s="49" t="s">
        <v>169</v>
      </c>
      <c r="N5" s="49" t="s">
        <v>177</v>
      </c>
      <c r="P5" s="49" t="s">
        <v>193</v>
      </c>
    </row>
    <row r="6" spans="2:16" x14ac:dyDescent="0.3">
      <c r="B6" s="67" t="s">
        <v>98</v>
      </c>
      <c r="C6" s="72">
        <v>0.15</v>
      </c>
      <c r="D6" s="68">
        <v>0.2</v>
      </c>
      <c r="E6" s="68">
        <v>0.1</v>
      </c>
      <c r="F6" s="68">
        <v>0.3</v>
      </c>
      <c r="G6" s="75">
        <v>0.2</v>
      </c>
      <c r="H6" s="77"/>
      <c r="L6" s="49" t="s">
        <v>170</v>
      </c>
      <c r="N6" s="49" t="s">
        <v>178</v>
      </c>
      <c r="P6" s="49" t="s">
        <v>194</v>
      </c>
    </row>
    <row r="7" spans="2:16" x14ac:dyDescent="0.3">
      <c r="B7" s="67" t="s">
        <v>83</v>
      </c>
      <c r="C7" s="72">
        <v>0.2</v>
      </c>
      <c r="D7" s="68">
        <v>0.2</v>
      </c>
      <c r="E7" s="68">
        <v>0.15</v>
      </c>
      <c r="F7" s="68">
        <v>0.3</v>
      </c>
      <c r="G7" s="75">
        <v>0.25</v>
      </c>
      <c r="H7" s="77"/>
      <c r="L7" s="49" t="s">
        <v>171</v>
      </c>
      <c r="P7" s="49" t="s">
        <v>195</v>
      </c>
    </row>
    <row r="8" spans="2:16" x14ac:dyDescent="0.3">
      <c r="B8" s="67" t="s">
        <v>99</v>
      </c>
      <c r="C8" s="72">
        <v>0.25</v>
      </c>
      <c r="D8" s="68">
        <v>0.02</v>
      </c>
      <c r="E8" s="68">
        <v>0.02</v>
      </c>
      <c r="F8" s="68">
        <v>0.2</v>
      </c>
      <c r="G8" s="75">
        <v>0.15</v>
      </c>
      <c r="H8" s="77"/>
      <c r="L8" s="52" t="s">
        <v>184</v>
      </c>
      <c r="P8" s="49" t="s">
        <v>196</v>
      </c>
    </row>
    <row r="9" spans="2:16" x14ac:dyDescent="0.3">
      <c r="B9" s="67" t="s">
        <v>100</v>
      </c>
      <c r="C9" s="72">
        <v>0.15</v>
      </c>
      <c r="D9" s="68">
        <v>0.02</v>
      </c>
      <c r="E9" s="68">
        <v>0.02</v>
      </c>
      <c r="F9" s="68">
        <v>0.2</v>
      </c>
      <c r="G9" s="75">
        <v>0.15</v>
      </c>
      <c r="H9" s="77"/>
      <c r="L9" s="49" t="s">
        <v>172</v>
      </c>
      <c r="P9" s="49" t="s">
        <v>197</v>
      </c>
    </row>
    <row r="10" spans="2:16" x14ac:dyDescent="0.3">
      <c r="B10" s="67" t="s">
        <v>84</v>
      </c>
      <c r="C10" s="72">
        <v>0.15</v>
      </c>
      <c r="D10" s="68">
        <v>0.1</v>
      </c>
      <c r="E10" s="68">
        <v>0.1</v>
      </c>
      <c r="F10" s="68">
        <v>0.3</v>
      </c>
      <c r="G10" s="75">
        <v>0.22</v>
      </c>
      <c r="H10" s="77"/>
      <c r="L10" s="49" t="s">
        <v>173</v>
      </c>
      <c r="P10" s="49" t="s">
        <v>198</v>
      </c>
    </row>
    <row r="11" spans="2:16" x14ac:dyDescent="0.3">
      <c r="B11" s="67" t="s">
        <v>101</v>
      </c>
      <c r="C11" s="72">
        <v>0.22</v>
      </c>
      <c r="D11" s="68">
        <v>0.2</v>
      </c>
      <c r="E11" s="68">
        <v>0.12</v>
      </c>
      <c r="F11" s="68">
        <v>0.4</v>
      </c>
      <c r="G11" s="75">
        <v>0.3</v>
      </c>
      <c r="H11" s="77"/>
      <c r="L11" s="49" t="s">
        <v>174</v>
      </c>
    </row>
    <row r="12" spans="2:16" x14ac:dyDescent="0.3">
      <c r="B12" s="67" t="s">
        <v>102</v>
      </c>
      <c r="C12" s="72">
        <v>0.3</v>
      </c>
      <c r="D12" s="68">
        <v>0.2</v>
      </c>
      <c r="E12" s="68">
        <v>0.12</v>
      </c>
      <c r="F12" s="68">
        <v>0.4</v>
      </c>
      <c r="G12" s="75">
        <v>0.3</v>
      </c>
      <c r="H12" s="77"/>
      <c r="L12" s="49" t="s">
        <v>175</v>
      </c>
    </row>
    <row r="13" spans="2:16" x14ac:dyDescent="0.3">
      <c r="B13" s="67" t="s">
        <v>103</v>
      </c>
      <c r="C13" s="72">
        <v>0.3</v>
      </c>
      <c r="D13" s="68">
        <v>0.02</v>
      </c>
      <c r="E13" s="68">
        <v>0.02</v>
      </c>
      <c r="F13" s="68">
        <v>0.2</v>
      </c>
      <c r="G13" s="75">
        <v>0.1</v>
      </c>
      <c r="H13" s="77"/>
    </row>
    <row r="14" spans="2:16" x14ac:dyDescent="0.3">
      <c r="B14" s="67" t="s">
        <v>86</v>
      </c>
      <c r="C14" s="72">
        <v>0.1</v>
      </c>
      <c r="D14" s="68">
        <v>0.1</v>
      </c>
      <c r="E14" s="68">
        <v>0.05</v>
      </c>
      <c r="F14" s="68">
        <v>0.2</v>
      </c>
      <c r="G14" s="71">
        <v>0.1</v>
      </c>
    </row>
    <row r="15" spans="2:16" x14ac:dyDescent="0.3">
      <c r="B15" s="67" t="s">
        <v>104</v>
      </c>
      <c r="C15" s="72">
        <v>0.1</v>
      </c>
      <c r="D15" s="68">
        <v>0.01</v>
      </c>
      <c r="E15" s="68">
        <v>0.01</v>
      </c>
      <c r="F15" s="68">
        <v>0.04</v>
      </c>
      <c r="G15" s="71">
        <v>0.02</v>
      </c>
    </row>
    <row r="16" spans="2:16" x14ac:dyDescent="0.3">
      <c r="B16" s="67" t="s">
        <v>105</v>
      </c>
      <c r="C16" s="72">
        <v>0.02</v>
      </c>
      <c r="D16" s="68">
        <v>0.01</v>
      </c>
      <c r="E16" s="68">
        <v>5.0000000000000001E-3</v>
      </c>
      <c r="F16" s="68">
        <v>0.01</v>
      </c>
      <c r="G16" s="71">
        <v>5.0000000000000001E-3</v>
      </c>
    </row>
    <row r="17" spans="2:7" x14ac:dyDescent="0.3">
      <c r="B17" s="67" t="s">
        <v>106</v>
      </c>
      <c r="C17" s="72">
        <v>0.01</v>
      </c>
      <c r="D17" s="68">
        <v>0.02</v>
      </c>
      <c r="E17" s="68">
        <v>0.01</v>
      </c>
      <c r="F17" s="68">
        <v>0.04</v>
      </c>
      <c r="G17" s="71">
        <v>0.02</v>
      </c>
    </row>
    <row r="18" spans="2:7" x14ac:dyDescent="0.3">
      <c r="B18" s="67" t="s">
        <v>107</v>
      </c>
      <c r="C18" s="72">
        <v>0.02</v>
      </c>
      <c r="D18" s="68">
        <v>0.02</v>
      </c>
      <c r="E18" s="68">
        <v>0.01</v>
      </c>
      <c r="F18" s="68">
        <v>0.04</v>
      </c>
      <c r="G18" s="71">
        <v>0.02</v>
      </c>
    </row>
    <row r="19" spans="2:7" x14ac:dyDescent="0.3">
      <c r="B19" s="67" t="s">
        <v>108</v>
      </c>
      <c r="C19" s="72">
        <v>0.02</v>
      </c>
      <c r="D19" s="68">
        <v>0.05</v>
      </c>
      <c r="E19" s="68">
        <v>0.02</v>
      </c>
      <c r="F19" s="68">
        <v>0.01</v>
      </c>
      <c r="G19" s="71">
        <v>5.0000000000000001E-3</v>
      </c>
    </row>
    <row r="20" spans="2:7" x14ac:dyDescent="0.3">
      <c r="B20" s="67" t="s">
        <v>109</v>
      </c>
      <c r="C20" s="72">
        <v>0.05</v>
      </c>
      <c r="D20" s="68">
        <v>0.01</v>
      </c>
      <c r="E20" s="68">
        <v>5.0000000000000001E-3</v>
      </c>
      <c r="F20" s="68">
        <v>0.01</v>
      </c>
      <c r="G20" s="71">
        <v>5.0000000000000001E-3</v>
      </c>
    </row>
    <row r="21" spans="2:7" x14ac:dyDescent="0.3">
      <c r="B21" s="67" t="s">
        <v>110</v>
      </c>
      <c r="C21" s="72">
        <v>0.01</v>
      </c>
      <c r="D21" s="68">
        <v>0.1</v>
      </c>
      <c r="E21" s="68">
        <v>0.1</v>
      </c>
      <c r="F21" s="68">
        <v>0.25</v>
      </c>
      <c r="G21" s="71">
        <v>0.15</v>
      </c>
    </row>
    <row r="22" spans="2:7" x14ac:dyDescent="0.3">
      <c r="B22" s="67" t="s">
        <v>111</v>
      </c>
      <c r="C22" s="72">
        <v>0.15</v>
      </c>
      <c r="D22" s="68">
        <v>0.1</v>
      </c>
      <c r="E22" s="68">
        <v>0.1</v>
      </c>
      <c r="F22" s="68">
        <v>0.15</v>
      </c>
      <c r="G22" s="71">
        <v>0.15</v>
      </c>
    </row>
    <row r="23" spans="2:7" x14ac:dyDescent="0.3">
      <c r="B23" s="67" t="s">
        <v>112</v>
      </c>
      <c r="C23" s="72">
        <v>0.15</v>
      </c>
      <c r="D23" s="68">
        <v>0.05</v>
      </c>
      <c r="E23" s="68">
        <v>0.03</v>
      </c>
      <c r="F23" s="68">
        <v>0.1</v>
      </c>
      <c r="G23" s="71">
        <v>0.1</v>
      </c>
    </row>
    <row r="24" spans="2:7" x14ac:dyDescent="0.3">
      <c r="B24" s="67" t="s">
        <v>113</v>
      </c>
      <c r="C24" s="72">
        <v>0.1</v>
      </c>
      <c r="D24" s="68">
        <v>0.03</v>
      </c>
      <c r="E24" s="68">
        <v>0.01</v>
      </c>
      <c r="F24" s="68">
        <v>0.06</v>
      </c>
      <c r="G24" s="71">
        <v>0.04</v>
      </c>
    </row>
    <row r="25" spans="2:7" x14ac:dyDescent="0.3">
      <c r="B25" s="67" t="s">
        <v>89</v>
      </c>
      <c r="C25" s="72">
        <v>0.04</v>
      </c>
      <c r="D25" s="68">
        <v>0.1</v>
      </c>
      <c r="E25" s="68">
        <v>0.05</v>
      </c>
      <c r="F25" s="68">
        <v>0.2</v>
      </c>
      <c r="G25" s="71">
        <v>0.1</v>
      </c>
    </row>
    <row r="26" spans="2:7" x14ac:dyDescent="0.3">
      <c r="B26" s="67" t="s">
        <v>114</v>
      </c>
      <c r="C26" s="72">
        <v>0.1</v>
      </c>
      <c r="D26" s="68">
        <v>0.1</v>
      </c>
      <c r="E26" s="68">
        <v>0.1</v>
      </c>
      <c r="F26" s="68">
        <v>0.25</v>
      </c>
      <c r="G26" s="71">
        <v>0.2</v>
      </c>
    </row>
    <row r="27" spans="2:7" x14ac:dyDescent="0.3">
      <c r="B27" s="67" t="s">
        <v>115</v>
      </c>
      <c r="C27" s="72">
        <v>0.2</v>
      </c>
      <c r="D27" s="68">
        <v>0.1</v>
      </c>
      <c r="E27" s="68">
        <v>0.05</v>
      </c>
      <c r="F27" s="68">
        <v>0.15</v>
      </c>
      <c r="G27" s="71">
        <v>0.1</v>
      </c>
    </row>
    <row r="28" spans="2:7" x14ac:dyDescent="0.3">
      <c r="B28" s="67" t="s">
        <v>116</v>
      </c>
      <c r="C28" s="72">
        <v>0.1</v>
      </c>
      <c r="D28" s="68">
        <v>0.05</v>
      </c>
      <c r="E28" s="68">
        <v>0.02</v>
      </c>
      <c r="F28" s="68">
        <v>0.1</v>
      </c>
      <c r="G28" s="71">
        <v>0.05</v>
      </c>
    </row>
    <row r="29" spans="2:7" x14ac:dyDescent="0.3">
      <c r="B29" s="67" t="s">
        <v>117</v>
      </c>
      <c r="C29" s="72">
        <v>0.05</v>
      </c>
      <c r="D29" s="68">
        <v>0.02</v>
      </c>
      <c r="E29" s="68">
        <v>0.01</v>
      </c>
      <c r="F29" s="68">
        <v>0.02</v>
      </c>
      <c r="G29" s="71">
        <v>0.01</v>
      </c>
    </row>
    <row r="30" spans="2:7" x14ac:dyDescent="0.3">
      <c r="B30" s="67" t="s">
        <v>118</v>
      </c>
      <c r="C30" s="72">
        <v>0.01</v>
      </c>
      <c r="D30" s="68">
        <v>0.05</v>
      </c>
      <c r="E30" s="68">
        <v>0.02</v>
      </c>
      <c r="F30" s="68">
        <v>0.1</v>
      </c>
      <c r="G30" s="71">
        <v>0.04</v>
      </c>
    </row>
    <row r="31" spans="2:7" x14ac:dyDescent="0.3">
      <c r="B31" s="67" t="s">
        <v>119</v>
      </c>
      <c r="C31" s="72">
        <v>0.04</v>
      </c>
      <c r="D31" s="68">
        <v>0.02</v>
      </c>
      <c r="E31" s="68">
        <v>0.01</v>
      </c>
      <c r="F31" s="68">
        <v>0.04</v>
      </c>
      <c r="G31" s="71">
        <v>0.02</v>
      </c>
    </row>
    <row r="32" spans="2:7" x14ac:dyDescent="0.3">
      <c r="B32" s="67" t="s">
        <v>120</v>
      </c>
      <c r="C32" s="72">
        <v>0.02</v>
      </c>
      <c r="D32" s="68">
        <v>0.02</v>
      </c>
      <c r="E32" s="68">
        <v>0.01</v>
      </c>
      <c r="F32" s="68">
        <v>0.1</v>
      </c>
      <c r="G32" s="71">
        <v>0.05</v>
      </c>
    </row>
    <row r="33" spans="2:7" x14ac:dyDescent="0.3">
      <c r="B33" s="67" t="s">
        <v>121</v>
      </c>
      <c r="C33" s="72">
        <v>0.05</v>
      </c>
      <c r="D33" s="68">
        <v>0.04</v>
      </c>
      <c r="E33" s="68">
        <v>0.02</v>
      </c>
      <c r="F33" s="68">
        <v>0.1</v>
      </c>
      <c r="G33" s="71">
        <v>0.05</v>
      </c>
    </row>
    <row r="34" spans="2:7" x14ac:dyDescent="0.3">
      <c r="B34" s="67" t="s">
        <v>122</v>
      </c>
      <c r="C34" s="72">
        <v>0.05</v>
      </c>
      <c r="D34" s="68">
        <v>0.02</v>
      </c>
      <c r="E34" s="68">
        <v>0.02</v>
      </c>
      <c r="F34" s="68">
        <v>0.1</v>
      </c>
      <c r="G34" s="71">
        <v>0.05</v>
      </c>
    </row>
    <row r="35" spans="2:7" x14ac:dyDescent="0.3">
      <c r="B35" s="67" t="s">
        <v>123</v>
      </c>
      <c r="C35" s="72">
        <v>0.05</v>
      </c>
      <c r="D35" s="68">
        <v>0.02</v>
      </c>
      <c r="E35" s="68">
        <v>0.02</v>
      </c>
      <c r="F35" s="68">
        <v>0.1</v>
      </c>
      <c r="G35" s="71">
        <v>0.05</v>
      </c>
    </row>
    <row r="36" spans="2:7" x14ac:dyDescent="0.3">
      <c r="B36" s="67" t="s">
        <v>94</v>
      </c>
      <c r="C36" s="72">
        <v>0.05</v>
      </c>
      <c r="D36" s="68">
        <v>0.04</v>
      </c>
      <c r="E36" s="68">
        <v>0.02</v>
      </c>
      <c r="F36" s="68">
        <v>0.1</v>
      </c>
      <c r="G36" s="71">
        <v>0.05</v>
      </c>
    </row>
    <row r="37" spans="2:7" x14ac:dyDescent="0.3">
      <c r="B37" s="67" t="s">
        <v>95</v>
      </c>
      <c r="C37" s="72">
        <v>0.05</v>
      </c>
      <c r="D37" s="68">
        <v>0.1</v>
      </c>
      <c r="E37" s="68">
        <v>0.15</v>
      </c>
      <c r="F37" s="68">
        <v>0.3</v>
      </c>
      <c r="G37" s="71">
        <v>0.25</v>
      </c>
    </row>
    <row r="38" spans="2:7" x14ac:dyDescent="0.3">
      <c r="B38" s="67" t="s">
        <v>124</v>
      </c>
      <c r="C38" s="72">
        <v>0.25</v>
      </c>
      <c r="D38" s="68">
        <v>0.1</v>
      </c>
      <c r="E38" s="68">
        <v>0.1</v>
      </c>
      <c r="F38" s="68">
        <v>0.3</v>
      </c>
      <c r="G38" s="71">
        <v>0.2</v>
      </c>
    </row>
    <row r="39" spans="2:7" x14ac:dyDescent="0.3">
      <c r="B39" s="67" t="s">
        <v>85</v>
      </c>
      <c r="C39" s="72">
        <v>0.2</v>
      </c>
      <c r="D39" s="68">
        <v>0.2</v>
      </c>
      <c r="E39" s="68">
        <v>0.17</v>
      </c>
      <c r="F39" s="68">
        <v>0.3</v>
      </c>
      <c r="G39" s="71">
        <v>0.25</v>
      </c>
    </row>
    <row r="40" spans="2:7" x14ac:dyDescent="0.3">
      <c r="B40" s="67" t="s">
        <v>125</v>
      </c>
      <c r="C40" s="72">
        <v>0.25</v>
      </c>
      <c r="D40" s="68">
        <v>0.2</v>
      </c>
      <c r="E40" s="68">
        <v>0.17</v>
      </c>
      <c r="F40" s="68">
        <v>0.3</v>
      </c>
      <c r="G40" s="71">
        <v>0.25</v>
      </c>
    </row>
    <row r="41" spans="2:7" x14ac:dyDescent="0.3">
      <c r="B41" s="67" t="s">
        <v>91</v>
      </c>
      <c r="C41" s="72">
        <v>0.25</v>
      </c>
      <c r="D41" s="68">
        <v>0.15</v>
      </c>
      <c r="E41" s="68">
        <v>0.15</v>
      </c>
      <c r="F41" s="68">
        <v>0.3</v>
      </c>
      <c r="G41" s="71">
        <v>0.3</v>
      </c>
    </row>
    <row r="42" spans="2:7" x14ac:dyDescent="0.3">
      <c r="B42" s="67" t="s">
        <v>90</v>
      </c>
      <c r="C42" s="72">
        <v>0.3</v>
      </c>
      <c r="D42" s="68">
        <v>0.1</v>
      </c>
      <c r="E42" s="68">
        <v>0.15</v>
      </c>
      <c r="F42" s="68">
        <v>0.3</v>
      </c>
      <c r="G42" s="71">
        <v>0.2</v>
      </c>
    </row>
    <row r="43" spans="2:7" x14ac:dyDescent="0.3">
      <c r="B43" s="67" t="s">
        <v>126</v>
      </c>
      <c r="C43" s="72">
        <v>0.2</v>
      </c>
      <c r="D43" s="68">
        <v>0.1</v>
      </c>
      <c r="E43" s="68">
        <v>0.1</v>
      </c>
      <c r="F43" s="68">
        <v>0.2</v>
      </c>
      <c r="G43" s="71">
        <v>0.2</v>
      </c>
    </row>
    <row r="44" spans="2:7" x14ac:dyDescent="0.3">
      <c r="B44" s="67" t="s">
        <v>127</v>
      </c>
      <c r="C44" s="72">
        <v>0.2</v>
      </c>
      <c r="D44" s="68">
        <v>0.2</v>
      </c>
      <c r="E44" s="68">
        <v>0.1</v>
      </c>
      <c r="F44" s="68">
        <v>0.3</v>
      </c>
      <c r="G44" s="71">
        <v>0.2</v>
      </c>
    </row>
    <row r="45" spans="2:7" x14ac:dyDescent="0.3">
      <c r="B45" s="67" t="s">
        <v>87</v>
      </c>
      <c r="C45" s="72">
        <v>0.2</v>
      </c>
      <c r="D45" s="68">
        <v>0.02</v>
      </c>
      <c r="E45" s="68">
        <v>0.01</v>
      </c>
      <c r="F45" s="68">
        <v>0.05</v>
      </c>
      <c r="G45" s="71">
        <v>0.05</v>
      </c>
    </row>
    <row r="46" spans="2:7" x14ac:dyDescent="0.3">
      <c r="B46" s="67" t="s">
        <v>128</v>
      </c>
      <c r="C46" s="72">
        <v>0.05</v>
      </c>
      <c r="D46" s="68">
        <v>0.02</v>
      </c>
      <c r="E46" s="68">
        <v>0.01</v>
      </c>
      <c r="F46" s="68">
        <v>0.05</v>
      </c>
      <c r="G46" s="71">
        <v>0.05</v>
      </c>
    </row>
    <row r="47" spans="2:7" x14ac:dyDescent="0.3">
      <c r="B47" s="67" t="s">
        <v>129</v>
      </c>
      <c r="C47" s="72">
        <v>0.05</v>
      </c>
      <c r="D47" s="68">
        <v>0.04</v>
      </c>
      <c r="E47" s="68">
        <v>0.02</v>
      </c>
      <c r="F47" s="68">
        <v>0.1</v>
      </c>
      <c r="G47" s="71">
        <v>0.05</v>
      </c>
    </row>
    <row r="48" spans="2:7" x14ac:dyDescent="0.3">
      <c r="B48" s="67" t="s">
        <v>130</v>
      </c>
      <c r="C48" s="72">
        <v>0.05</v>
      </c>
      <c r="D48" s="68">
        <v>0.03</v>
      </c>
      <c r="E48" s="68">
        <v>0.01</v>
      </c>
      <c r="F48" s="68">
        <v>0.1</v>
      </c>
      <c r="G48" s="71">
        <v>0.05</v>
      </c>
    </row>
    <row r="49" spans="2:7" x14ac:dyDescent="0.3">
      <c r="B49" s="67" t="s">
        <v>92</v>
      </c>
      <c r="C49" s="72">
        <v>0.05</v>
      </c>
      <c r="D49" s="68">
        <v>0.1</v>
      </c>
      <c r="E49" s="68">
        <v>7.0000000000000007E-2</v>
      </c>
      <c r="F49" s="68">
        <v>0.2</v>
      </c>
      <c r="G49" s="71">
        <v>0.2</v>
      </c>
    </row>
    <row r="50" spans="2:7" x14ac:dyDescent="0.3">
      <c r="B50" s="67" t="s">
        <v>131</v>
      </c>
      <c r="C50" s="72">
        <v>0.2</v>
      </c>
      <c r="D50" s="68">
        <v>0.15</v>
      </c>
      <c r="E50" s="68">
        <v>0.08</v>
      </c>
      <c r="F50" s="68">
        <v>0.3</v>
      </c>
      <c r="G50" s="71">
        <v>0.15</v>
      </c>
    </row>
    <row r="51" spans="2:7" x14ac:dyDescent="0.3">
      <c r="B51" s="67" t="s">
        <v>88</v>
      </c>
      <c r="C51" s="72">
        <v>0.15</v>
      </c>
      <c r="D51" s="68">
        <v>0.05</v>
      </c>
      <c r="E51" s="68">
        <v>0.05</v>
      </c>
      <c r="F51" s="68">
        <v>0.15</v>
      </c>
      <c r="G51" s="71">
        <v>0.1</v>
      </c>
    </row>
    <row r="52" spans="2:7" x14ac:dyDescent="0.3">
      <c r="B52" s="69" t="s">
        <v>132</v>
      </c>
      <c r="C52" s="72">
        <v>0.1</v>
      </c>
      <c r="D52" s="68">
        <v>0.05</v>
      </c>
      <c r="E52" s="68">
        <v>0.05</v>
      </c>
      <c r="F52" s="68">
        <v>0.1</v>
      </c>
      <c r="G52" s="71">
        <v>0.1</v>
      </c>
    </row>
    <row r="53" spans="2:7" x14ac:dyDescent="0.3">
      <c r="B53" s="67" t="s">
        <v>133</v>
      </c>
      <c r="C53" s="72">
        <v>0.1</v>
      </c>
      <c r="D53" s="68">
        <v>0.4</v>
      </c>
      <c r="E53" s="68">
        <v>0.25</v>
      </c>
      <c r="F53" s="68">
        <v>0.75</v>
      </c>
      <c r="G53" s="71">
        <v>0.4</v>
      </c>
    </row>
    <row r="54" spans="2:7" x14ac:dyDescent="0.3">
      <c r="B54" s="67" t="s">
        <v>134</v>
      </c>
      <c r="C54" s="72">
        <v>0.4</v>
      </c>
      <c r="D54" s="68">
        <v>0.2</v>
      </c>
      <c r="E54" s="68">
        <v>0.1</v>
      </c>
      <c r="F54" s="68">
        <v>0.3</v>
      </c>
      <c r="G54" s="71">
        <v>0.2</v>
      </c>
    </row>
    <row r="55" spans="2:7" x14ac:dyDescent="0.3">
      <c r="B55" s="67" t="s">
        <v>135</v>
      </c>
      <c r="C55" s="72">
        <v>0.2</v>
      </c>
      <c r="D55" s="68">
        <v>0.1</v>
      </c>
      <c r="E55" s="68">
        <v>0.1</v>
      </c>
      <c r="F55" s="68">
        <v>0.25</v>
      </c>
      <c r="G55" s="71">
        <v>0.2</v>
      </c>
    </row>
    <row r="56" spans="2:7" x14ac:dyDescent="0.3">
      <c r="B56" s="67" t="s">
        <v>136</v>
      </c>
      <c r="C56" s="72">
        <v>0.2</v>
      </c>
      <c r="D56" s="68">
        <v>0.1</v>
      </c>
      <c r="E56" s="68">
        <v>0.1</v>
      </c>
      <c r="F56" s="68">
        <v>0.15</v>
      </c>
      <c r="G56" s="71">
        <v>0.15</v>
      </c>
    </row>
    <row r="57" spans="2:7" x14ac:dyDescent="0.3">
      <c r="B57" s="67" t="s">
        <v>137</v>
      </c>
      <c r="C57" s="72">
        <v>0.15</v>
      </c>
      <c r="D57" s="68">
        <v>0.15</v>
      </c>
      <c r="E57" s="68">
        <v>0.15</v>
      </c>
      <c r="F57" s="68">
        <v>0.3</v>
      </c>
      <c r="G57" s="71">
        <v>0.2</v>
      </c>
    </row>
    <row r="58" spans="2:7" x14ac:dyDescent="0.3">
      <c r="B58" s="67" t="s">
        <v>138</v>
      </c>
      <c r="C58" s="72">
        <v>0.2</v>
      </c>
      <c r="D58" s="68">
        <v>0.05</v>
      </c>
      <c r="E58" s="68">
        <v>0.02</v>
      </c>
      <c r="F58" s="68">
        <v>0.1</v>
      </c>
      <c r="G58" s="71">
        <v>0.05</v>
      </c>
    </row>
    <row r="59" spans="2:7" x14ac:dyDescent="0.3">
      <c r="B59" s="67" t="s">
        <v>139</v>
      </c>
      <c r="C59" s="72">
        <v>0.05</v>
      </c>
      <c r="D59" s="68">
        <v>0.02</v>
      </c>
      <c r="E59" s="68">
        <v>0.01</v>
      </c>
      <c r="F59" s="68">
        <v>0.03</v>
      </c>
      <c r="G59" s="71">
        <v>0.03</v>
      </c>
    </row>
    <row r="60" spans="2:7" x14ac:dyDescent="0.3">
      <c r="B60" s="67" t="s">
        <v>140</v>
      </c>
      <c r="C60" s="72">
        <v>0.03</v>
      </c>
      <c r="D60" s="68">
        <v>0.1</v>
      </c>
      <c r="E60" s="68">
        <v>0.05</v>
      </c>
      <c r="F60" s="68">
        <v>0.2</v>
      </c>
      <c r="G60" s="71">
        <v>0.1</v>
      </c>
    </row>
    <row r="61" spans="2:7" x14ac:dyDescent="0.3">
      <c r="B61" s="67" t="s">
        <v>141</v>
      </c>
      <c r="C61" s="72">
        <v>0.1</v>
      </c>
      <c r="D61" s="68">
        <v>0.1</v>
      </c>
      <c r="E61" s="68">
        <v>0.05</v>
      </c>
      <c r="F61" s="68">
        <v>0.2</v>
      </c>
      <c r="G61" s="71">
        <v>0.1</v>
      </c>
    </row>
    <row r="62" spans="2:7" x14ac:dyDescent="0.3">
      <c r="B62" s="67" t="s">
        <v>142</v>
      </c>
      <c r="C62" s="72">
        <v>0.1</v>
      </c>
      <c r="D62" s="68">
        <v>0.04</v>
      </c>
      <c r="E62" s="68">
        <v>0.02</v>
      </c>
      <c r="F62" s="68">
        <v>0.08</v>
      </c>
      <c r="G62" s="71">
        <v>0.03</v>
      </c>
    </row>
    <row r="63" spans="2:7" x14ac:dyDescent="0.3">
      <c r="B63" s="67" t="s">
        <v>143</v>
      </c>
      <c r="C63" s="72">
        <v>0.03</v>
      </c>
      <c r="D63" s="68">
        <v>0.04</v>
      </c>
      <c r="E63" s="68">
        <v>0.02</v>
      </c>
      <c r="F63" s="68">
        <v>0.08</v>
      </c>
      <c r="G63" s="71">
        <v>0.03</v>
      </c>
    </row>
    <row r="64" spans="2:7" x14ac:dyDescent="0.3">
      <c r="B64" s="67" t="s">
        <v>144</v>
      </c>
      <c r="C64" s="72">
        <v>0.03</v>
      </c>
      <c r="D64" s="68">
        <v>0.01</v>
      </c>
      <c r="E64" s="68">
        <v>0.01</v>
      </c>
      <c r="F64" s="68">
        <v>0.01</v>
      </c>
      <c r="G64" s="71">
        <v>0.01</v>
      </c>
    </row>
    <row r="65" spans="2:7" x14ac:dyDescent="0.3">
      <c r="B65" s="67" t="s">
        <v>145</v>
      </c>
      <c r="C65" s="72">
        <v>0.01</v>
      </c>
      <c r="D65" s="68">
        <v>0.01</v>
      </c>
      <c r="E65" s="68">
        <v>0.01</v>
      </c>
      <c r="F65" s="68">
        <v>0.01</v>
      </c>
      <c r="G65" s="71">
        <v>0.01</v>
      </c>
    </row>
    <row r="66" spans="2:7" x14ac:dyDescent="0.3">
      <c r="B66" s="67" t="s">
        <v>146</v>
      </c>
      <c r="C66" s="72">
        <v>0.01</v>
      </c>
      <c r="D66" s="68">
        <v>0.01</v>
      </c>
      <c r="E66" s="68">
        <v>5.0000000000000001E-3</v>
      </c>
      <c r="F66" s="68">
        <v>0.01</v>
      </c>
      <c r="G66" s="71">
        <v>5.0000000000000001E-3</v>
      </c>
    </row>
    <row r="67" spans="2:7" x14ac:dyDescent="0.3">
      <c r="B67" s="67" t="s">
        <v>147</v>
      </c>
      <c r="C67" s="72">
        <v>0.01</v>
      </c>
      <c r="D67" s="68">
        <v>0.01</v>
      </c>
      <c r="E67" s="68">
        <v>5.0000000000000001E-3</v>
      </c>
      <c r="F67" s="68">
        <v>0.01</v>
      </c>
      <c r="G67" s="71">
        <v>5.0000000000000001E-3</v>
      </c>
    </row>
    <row r="68" spans="2:7" x14ac:dyDescent="0.3">
      <c r="B68" s="67" t="s">
        <v>148</v>
      </c>
      <c r="C68" s="72">
        <v>0.01</v>
      </c>
      <c r="D68" s="68">
        <v>0.02</v>
      </c>
      <c r="E68" s="68">
        <v>0.01</v>
      </c>
      <c r="F68" s="68">
        <v>0.04</v>
      </c>
      <c r="G68" s="71">
        <v>0.02</v>
      </c>
    </row>
    <row r="69" spans="2:7" x14ac:dyDescent="0.3">
      <c r="B69" s="67" t="s">
        <v>149</v>
      </c>
      <c r="C69" s="72">
        <v>0.02</v>
      </c>
      <c r="D69" s="68">
        <v>0.02</v>
      </c>
      <c r="E69" s="68">
        <v>0.01</v>
      </c>
      <c r="F69" s="68">
        <v>0.02</v>
      </c>
      <c r="G69" s="71">
        <v>0.01</v>
      </c>
    </row>
    <row r="70" spans="2:7" x14ac:dyDescent="0.3">
      <c r="B70" s="67" t="s">
        <v>150</v>
      </c>
      <c r="C70" s="72">
        <v>0.01</v>
      </c>
      <c r="D70" s="68">
        <v>0.05</v>
      </c>
      <c r="E70" s="68">
        <v>0.02</v>
      </c>
      <c r="F70" s="68">
        <v>0.08</v>
      </c>
      <c r="G70" s="71">
        <v>0.03</v>
      </c>
    </row>
    <row r="71" spans="2:7" x14ac:dyDescent="0.3">
      <c r="B71" s="67" t="s">
        <v>151</v>
      </c>
      <c r="C71" s="72">
        <v>0.03</v>
      </c>
      <c r="D71" s="68">
        <v>0.03</v>
      </c>
      <c r="E71" s="68">
        <v>0.02</v>
      </c>
      <c r="F71" s="68">
        <v>0.05</v>
      </c>
      <c r="G71" s="71">
        <v>0.03</v>
      </c>
    </row>
    <row r="72" spans="2:7" x14ac:dyDescent="0.3">
      <c r="B72" s="67" t="s">
        <v>152</v>
      </c>
      <c r="C72" s="72">
        <v>0.03</v>
      </c>
      <c r="D72" s="68">
        <v>0.04</v>
      </c>
      <c r="E72" s="68">
        <v>0.02</v>
      </c>
      <c r="F72" s="68">
        <v>0.08</v>
      </c>
      <c r="G72" s="71">
        <v>0.03</v>
      </c>
    </row>
    <row r="73" spans="2:7" x14ac:dyDescent="0.3">
      <c r="B73" s="67" t="s">
        <v>153</v>
      </c>
      <c r="C73" s="72">
        <v>0.03</v>
      </c>
      <c r="D73" s="68">
        <v>0.02</v>
      </c>
      <c r="E73" s="68">
        <v>0.01</v>
      </c>
      <c r="F73" s="68">
        <v>0.05</v>
      </c>
      <c r="G73" s="71">
        <v>0.03</v>
      </c>
    </row>
    <row r="74" spans="2:7" x14ac:dyDescent="0.3">
      <c r="B74" s="67" t="s">
        <v>154</v>
      </c>
      <c r="C74" s="72">
        <v>0.03</v>
      </c>
      <c r="D74" s="68">
        <v>0.02</v>
      </c>
      <c r="E74" s="68">
        <v>0.01</v>
      </c>
      <c r="F74" s="68">
        <v>0.05</v>
      </c>
      <c r="G74" s="71">
        <v>0.03</v>
      </c>
    </row>
    <row r="75" spans="2:7" x14ac:dyDescent="0.3">
      <c r="B75" s="67" t="s">
        <v>155</v>
      </c>
      <c r="C75" s="72">
        <v>0.05</v>
      </c>
      <c r="D75" s="68">
        <v>0.08</v>
      </c>
      <c r="E75" s="68">
        <v>0.04</v>
      </c>
      <c r="F75" s="68">
        <v>0.15</v>
      </c>
      <c r="G75" s="71">
        <v>0.1</v>
      </c>
    </row>
    <row r="76" spans="2:7" x14ac:dyDescent="0.3">
      <c r="B76" s="67" t="s">
        <v>156</v>
      </c>
      <c r="C76" s="72">
        <v>0.1</v>
      </c>
      <c r="D76" s="68">
        <v>0.08</v>
      </c>
      <c r="E76" s="68">
        <v>0.04</v>
      </c>
      <c r="F76" s="68">
        <v>0.15</v>
      </c>
      <c r="G76" s="71">
        <v>0.1</v>
      </c>
    </row>
    <row r="77" spans="2:7" x14ac:dyDescent="0.3">
      <c r="B77" s="67" t="s">
        <v>157</v>
      </c>
      <c r="C77" s="72">
        <v>0.1</v>
      </c>
      <c r="D77" s="68">
        <v>0.08</v>
      </c>
      <c r="E77" s="68">
        <v>0.04</v>
      </c>
      <c r="F77" s="68">
        <v>0.15</v>
      </c>
      <c r="G77" s="71">
        <v>0.08</v>
      </c>
    </row>
    <row r="78" spans="2:7" x14ac:dyDescent="0.3">
      <c r="B78" s="67" t="s">
        <v>158</v>
      </c>
      <c r="C78" s="72">
        <v>0.08</v>
      </c>
      <c r="D78" s="68">
        <v>0.04</v>
      </c>
      <c r="E78" s="68">
        <v>0.02</v>
      </c>
      <c r="F78" s="68">
        <v>0.05</v>
      </c>
      <c r="G78" s="71">
        <v>0.03</v>
      </c>
    </row>
    <row r="79" spans="2:7" x14ac:dyDescent="0.3">
      <c r="B79" s="67" t="s">
        <v>159</v>
      </c>
      <c r="C79" s="72">
        <v>0.03</v>
      </c>
      <c r="D79" s="68">
        <v>0.04</v>
      </c>
      <c r="E79" s="68">
        <v>0.02</v>
      </c>
      <c r="F79" s="68">
        <v>0.05</v>
      </c>
      <c r="G79" s="71">
        <v>0.03</v>
      </c>
    </row>
    <row r="80" spans="2:7" x14ac:dyDescent="0.3">
      <c r="B80" s="67" t="s">
        <v>93</v>
      </c>
      <c r="C80" s="72">
        <v>0.03</v>
      </c>
      <c r="D80" s="68">
        <v>0.04</v>
      </c>
      <c r="E80" s="68">
        <v>0.02</v>
      </c>
      <c r="F80" s="68">
        <v>0.05</v>
      </c>
      <c r="G80" s="71">
        <v>0.03</v>
      </c>
    </row>
    <row r="81" spans="2:3" x14ac:dyDescent="0.3">
      <c r="B81" s="67" t="s">
        <v>160</v>
      </c>
      <c r="C81" s="72">
        <v>0.03</v>
      </c>
    </row>
  </sheetData>
  <sheetProtection algorithmName="SHA-512" hashValue="+nGMYqe2wwHfR2LhE60Vl079JwuHgUqyhlbx1yygaJEapttpsko2NyV3KriyOBBME+2ayuVX5VO+35iw0guCrg==" saltValue="eiJ6F4sCdMM136Z38a19lQ==" spinCount="100000" sheet="1" objects="1" scenarios="1"/>
  <mergeCells count="2">
    <mergeCell ref="B2:I2"/>
    <mergeCell ref="B3:C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63BF5-92C2-4493-B31B-458D41167747}">
  <dimension ref="B2:M16"/>
  <sheetViews>
    <sheetView workbookViewId="0">
      <selection activeCell="C14" sqref="C14"/>
    </sheetView>
  </sheetViews>
  <sheetFormatPr defaultRowHeight="14.4" x14ac:dyDescent="0.3"/>
  <cols>
    <col min="1" max="1" width="3.109375" customWidth="1"/>
    <col min="2" max="2" width="13.6640625" customWidth="1"/>
    <col min="3" max="3" width="12" bestFit="1" customWidth="1"/>
    <col min="4" max="4" width="11.33203125" bestFit="1" customWidth="1"/>
  </cols>
  <sheetData>
    <row r="2" spans="2:13" x14ac:dyDescent="0.3">
      <c r="C2" s="110" t="s">
        <v>227</v>
      </c>
      <c r="D2" s="110" t="s">
        <v>227</v>
      </c>
    </row>
    <row r="3" spans="2:13" x14ac:dyDescent="0.3">
      <c r="B3" s="153" t="s">
        <v>234</v>
      </c>
      <c r="C3" s="163" t="s">
        <v>228</v>
      </c>
      <c r="D3" s="164" t="s">
        <v>229</v>
      </c>
      <c r="E3" s="111"/>
      <c r="M3" s="111"/>
    </row>
    <row r="4" spans="2:13" x14ac:dyDescent="0.3">
      <c r="B4" s="152" t="s">
        <v>169</v>
      </c>
      <c r="C4" s="163">
        <v>1.6465250156540216E-2</v>
      </c>
      <c r="D4" s="164">
        <v>3.5990313013993261E-2</v>
      </c>
      <c r="E4" s="111"/>
    </row>
    <row r="5" spans="2:13" x14ac:dyDescent="0.3">
      <c r="B5" s="152" t="s">
        <v>170</v>
      </c>
      <c r="C5" s="163">
        <v>1.5615221198574572E-2</v>
      </c>
      <c r="D5" s="164">
        <v>2.4287640268739003E-2</v>
      </c>
      <c r="E5" s="111"/>
    </row>
    <row r="6" spans="2:13" x14ac:dyDescent="0.3">
      <c r="B6" s="152" t="s">
        <v>171</v>
      </c>
      <c r="C6" s="163">
        <v>3.195266160252231E-2</v>
      </c>
      <c r="D6" s="164">
        <v>2.6990658283985388E-2</v>
      </c>
      <c r="E6" s="111"/>
    </row>
    <row r="7" spans="2:13" x14ac:dyDescent="0.3">
      <c r="B7" s="152" t="s">
        <v>184</v>
      </c>
      <c r="C7" s="163">
        <v>1.9699867662153502E-2</v>
      </c>
      <c r="D7" s="164">
        <v>1.3066379160471426E-2</v>
      </c>
      <c r="E7" s="111"/>
    </row>
    <row r="8" spans="2:13" x14ac:dyDescent="0.3">
      <c r="B8" s="152" t="s">
        <v>172</v>
      </c>
      <c r="C8" s="163">
        <v>1.9512302850000194E-2</v>
      </c>
      <c r="D8" s="164">
        <v>1.2024674308902259E-2</v>
      </c>
      <c r="E8" s="111"/>
    </row>
    <row r="9" spans="2:13" x14ac:dyDescent="0.3">
      <c r="B9" s="152" t="s">
        <v>173</v>
      </c>
      <c r="C9" s="163">
        <v>1.782356260884985E-2</v>
      </c>
      <c r="D9" s="164">
        <v>2.9745043736646361E-2</v>
      </c>
      <c r="E9" s="111"/>
    </row>
    <row r="10" spans="2:13" x14ac:dyDescent="0.3">
      <c r="B10" s="152" t="s">
        <v>174</v>
      </c>
      <c r="C10" s="163">
        <v>2.508906394952868E-2</v>
      </c>
      <c r="D10" s="164">
        <v>2.4222517026481549E-2</v>
      </c>
      <c r="E10" s="111"/>
    </row>
    <row r="11" spans="2:13" x14ac:dyDescent="0.3">
      <c r="B11" s="152" t="s">
        <v>175</v>
      </c>
      <c r="C11" s="163">
        <v>2.4045854892342022E-2</v>
      </c>
      <c r="D11" s="164">
        <v>4.1038431317052301E-2</v>
      </c>
      <c r="E11" s="111"/>
    </row>
    <row r="12" spans="2:13" x14ac:dyDescent="0.3">
      <c r="C12" s="112"/>
      <c r="D12" s="154"/>
      <c r="E12" s="111"/>
    </row>
    <row r="13" spans="2:13" x14ac:dyDescent="0.3">
      <c r="B13" s="180" t="s">
        <v>227</v>
      </c>
      <c r="C13" s="180"/>
    </row>
    <row r="14" spans="2:13" ht="28.8" x14ac:dyDescent="0.3">
      <c r="B14" s="159" t="s">
        <v>239</v>
      </c>
      <c r="C14" s="160">
        <f>'Inputs &amp; Outputs'!$C$32</f>
        <v>13481</v>
      </c>
    </row>
    <row r="15" spans="2:13" ht="43.2" x14ac:dyDescent="0.3">
      <c r="B15" s="159" t="s">
        <v>235</v>
      </c>
      <c r="C15" s="160">
        <f>'Inputs &amp; Outputs'!$C$33</f>
        <v>14600</v>
      </c>
    </row>
    <row r="16" spans="2:13" x14ac:dyDescent="0.3">
      <c r="B16" s="161" t="s">
        <v>227</v>
      </c>
      <c r="C16" s="162">
        <f>(($C$15/$C$14)^(1/(Year_Open_to_Traffic?-2021))-1)</f>
        <v>2.0135090814321854E-2</v>
      </c>
    </row>
  </sheetData>
  <sheetProtection algorithmName="SHA-512" hashValue="Bdu7T2XFTbXaR/WviHyfhkbi9IR7wnfeNLjz2M4BkvVTcZnA38vfq283fThNnr5oCMsO34xN2Uv2ZuKLjB4c1g==" saltValue="kEDTpQluzNjZWwPrKzMhSQ==" spinCount="100000" sheet="1" objects="1" scenarios="1"/>
  <mergeCells count="1">
    <mergeCell ref="B13:C1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12FC740BCA03C479DA71D811169BFA1" ma:contentTypeVersion="5" ma:contentTypeDescription="Create a new document." ma:contentTypeScope="" ma:versionID="55c1fcfba0b50bee698a5af054f21b19">
  <xsd:schema xmlns:xsd="http://www.w3.org/2001/XMLSchema" xmlns:xs="http://www.w3.org/2001/XMLSchema" xmlns:p="http://schemas.microsoft.com/office/2006/metadata/properties" xmlns:ns2="12c48a06-edc6-4ccf-ab50-6f21e6b801cd" xmlns:ns3="6a71ecd6-7a08-4b40-8c69-f5ec8494976e" targetNamespace="http://schemas.microsoft.com/office/2006/metadata/properties" ma:root="true" ma:fieldsID="620b7003fcbb9a2700d630a39e7fc411" ns2:_="" ns3:_="">
    <xsd:import namespace="12c48a06-edc6-4ccf-ab50-6f21e6b801cd"/>
    <xsd:import namespace="6a71ecd6-7a08-4b40-8c69-f5ec8494976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c48a06-edc6-4ccf-ab50-6f21e6b801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71ecd6-7a08-4b40-8c69-f5ec8494976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4FF4BF-10E9-45C2-BF98-8919E1860351}">
  <ds:schemaRefs>
    <ds:schemaRef ds:uri="http://schemas.microsoft.com/sharepoint/v3/contenttype/forms"/>
  </ds:schemaRefs>
</ds:datastoreItem>
</file>

<file path=customXml/itemProps2.xml><?xml version="1.0" encoding="utf-8"?>
<ds:datastoreItem xmlns:ds="http://schemas.openxmlformats.org/officeDocument/2006/customXml" ds:itemID="{597F151F-43BD-4BEE-BD50-040F57E0AD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c48a06-edc6-4ccf-ab50-6f21e6b801cd"/>
    <ds:schemaRef ds:uri="6a71ecd6-7a08-4b40-8c69-f5ec849497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7F98B3-8110-4FA2-AF3E-50F48B49B1D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26</vt:i4>
      </vt:variant>
    </vt:vector>
  </HeadingPairs>
  <TitlesOfParts>
    <vt:vector size="35" baseType="lpstr">
      <vt:lpstr>Instructions</vt:lpstr>
      <vt:lpstr>ITS Delay Worksheet</vt:lpstr>
      <vt:lpstr>Emissions Reduction Worksheet</vt:lpstr>
      <vt:lpstr>Inputs &amp; Outputs</vt:lpstr>
      <vt:lpstr>Calculations</vt:lpstr>
      <vt:lpstr>Assumed Values</vt:lpstr>
      <vt:lpstr>Value of Travel Time</vt:lpstr>
      <vt:lpstr>Delay Reduction Factors</vt:lpstr>
      <vt:lpstr>Growth Rates</vt:lpstr>
      <vt:lpstr>_20_2030_V_C_Growth</vt:lpstr>
      <vt:lpstr>_20_2045_Demand_Growth</vt:lpstr>
      <vt:lpstr>_20_2045_V_C_Growth</vt:lpstr>
      <vt:lpstr>_20_V_C_Ratio</vt:lpstr>
      <vt:lpstr>_2045_V_C_Ratio</vt:lpstr>
      <vt:lpstr>_30_2045_Demand_Growth</vt:lpstr>
      <vt:lpstr>_30_2045_V_C_Growth</vt:lpstr>
      <vt:lpstr>_30_V_C_Ratio</vt:lpstr>
      <vt:lpstr>_Facility_Type</vt:lpstr>
      <vt:lpstr>Annual_Days_of_Travel</vt:lpstr>
      <vt:lpstr>Base_Year</vt:lpstr>
      <vt:lpstr>County</vt:lpstr>
      <vt:lpstr>FacilityType</vt:lpstr>
      <vt:lpstr>'Assumed Values'!Print_Area</vt:lpstr>
      <vt:lpstr>Calculations!Print_Area</vt:lpstr>
      <vt:lpstr>'Emissions Reduction Worksheet'!Print_Area</vt:lpstr>
      <vt:lpstr>'Inputs &amp; Outputs'!Print_Area</vt:lpstr>
      <vt:lpstr>Instructions!Print_Area</vt:lpstr>
      <vt:lpstr>'ITS Delay Worksheet'!Print_Area</vt:lpstr>
      <vt:lpstr>ProjectTitle</vt:lpstr>
      <vt:lpstr>Real_wage_growth_rate</vt:lpstr>
      <vt:lpstr>Value_of_Delay_Savings__2020_____000s</vt:lpstr>
      <vt:lpstr>Value_of_Travel_Time__VoTT___2020</vt:lpstr>
      <vt:lpstr>Vehicle_Occupancy</vt:lpstr>
      <vt:lpstr>Year_Open_to_Traffic?</vt:lpstr>
      <vt:lpstr>Years_to_include_in_BCA_Analysis</vt:lpstr>
    </vt:vector>
  </TitlesOfParts>
  <Company>Houston-Galveston Area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wurdlow</dc:creator>
  <cp:lastModifiedBy>Lingala, Vishu</cp:lastModifiedBy>
  <cp:lastPrinted>2018-07-16T14:36:56Z</cp:lastPrinted>
  <dcterms:created xsi:type="dcterms:W3CDTF">2012-07-25T15:48:32Z</dcterms:created>
  <dcterms:modified xsi:type="dcterms:W3CDTF">2024-07-22T12:27:01Z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0x010100412FC740BCA03C479DA71D811169BFA1</vt:lpwstr>
  </property>
</Properties>
</file>