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5180" windowHeight="6795" activeTab="2"/>
  </bookViews>
  <sheets>
    <sheet name="Inputs" sheetId="1" r:id="rId1"/>
    <sheet name="Operational Analysis" sheetId="3" r:id="rId2"/>
    <sheet name="Cost Analysis" sheetId="4" r:id="rId3"/>
  </sheets>
  <definedNames>
    <definedName name="_xlnm.Print_Area" localSheetId="0">Inputs!$A$1:$P$64</definedName>
    <definedName name="_xlnm.Print_Area" localSheetId="1">'Operational Analysis'!$A$1:$E$64</definedName>
    <definedName name="_xlnm.Print_Titles" localSheetId="0">Inputs!$1:$3</definedName>
    <definedName name="_xlnm.Print_Titles" localSheetId="1">'Operational Analysis'!$1:$3</definedName>
  </definedNames>
  <calcPr calcId="125725"/>
</workbook>
</file>

<file path=xl/calcChain.xml><?xml version="1.0" encoding="utf-8"?>
<calcChain xmlns="http://schemas.openxmlformats.org/spreadsheetml/2006/main">
  <c r="L63" i="3"/>
  <c r="L64"/>
  <c r="L62"/>
  <c r="K25" i="1"/>
  <c r="J63" i="3"/>
  <c r="J64" s="1"/>
  <c r="C57" i="1"/>
  <c r="H6"/>
  <c r="I6" s="1"/>
  <c r="E49"/>
  <c r="H15"/>
  <c r="I15" s="1"/>
  <c r="K3"/>
  <c r="A47" i="3"/>
  <c r="B47"/>
  <c r="A48"/>
  <c r="B48"/>
  <c r="A49"/>
  <c r="A50"/>
  <c r="B50"/>
  <c r="A51"/>
  <c r="B51"/>
  <c r="A52"/>
  <c r="B52"/>
  <c r="A53"/>
  <c r="B53"/>
  <c r="A54"/>
  <c r="B54"/>
  <c r="A55"/>
  <c r="B55"/>
  <c r="A56"/>
  <c r="B56"/>
  <c r="A57"/>
  <c r="B57"/>
  <c r="B46"/>
  <c r="A46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B32"/>
  <c r="A32"/>
  <c r="K18" i="1"/>
  <c r="K20"/>
  <c r="K23"/>
  <c r="K24"/>
  <c r="K26"/>
  <c r="K27"/>
  <c r="K28"/>
  <c r="K29"/>
  <c r="K17"/>
  <c r="K13"/>
  <c r="K5"/>
  <c r="K6"/>
  <c r="K7"/>
  <c r="K8"/>
  <c r="K9"/>
  <c r="K10"/>
  <c r="K11"/>
  <c r="K12"/>
  <c r="B8" i="3"/>
  <c r="B9"/>
  <c r="B64" s="1"/>
  <c r="B7"/>
  <c r="B62" s="1"/>
  <c r="H10" i="1"/>
  <c r="I10" s="1"/>
  <c r="H11"/>
  <c r="I11" s="1"/>
  <c r="H12"/>
  <c r="I12" s="1"/>
  <c r="H13"/>
  <c r="I13" s="1"/>
  <c r="H14"/>
  <c r="I14" s="1"/>
  <c r="H3"/>
  <c r="H5"/>
  <c r="I5" s="1"/>
  <c r="H8"/>
  <c r="I8" s="1"/>
  <c r="H9"/>
  <c r="I9" s="1"/>
  <c r="E48"/>
  <c r="E47"/>
  <c r="K22"/>
  <c r="B26"/>
  <c r="H7" s="1"/>
  <c r="I7" s="1"/>
  <c r="D62" i="3" l="1"/>
  <c r="M62" s="1"/>
  <c r="D64"/>
  <c r="B63"/>
  <c r="D63" s="1"/>
  <c r="E50" i="1"/>
  <c r="D14" i="4" s="1"/>
  <c r="B49" i="3"/>
  <c r="D7"/>
  <c r="M6" s="1"/>
  <c r="D8"/>
  <c r="N6" s="1"/>
  <c r="H16" i="1"/>
  <c r="I3"/>
  <c r="D9" i="3"/>
  <c r="E14" i="4" l="1"/>
  <c r="C14"/>
  <c r="I16" i="1"/>
  <c r="E9" i="3" s="1"/>
  <c r="O7" s="1"/>
  <c r="E15" i="4"/>
  <c r="D15"/>
  <c r="D22" s="1"/>
  <c r="C15"/>
  <c r="C22" s="1"/>
  <c r="E22" l="1"/>
  <c r="C8" i="3"/>
  <c r="N5" s="1"/>
  <c r="C9"/>
  <c r="O5" s="1"/>
  <c r="C41" i="1"/>
  <c r="M25" s="1"/>
  <c r="C42"/>
  <c r="E49" i="3" s="1"/>
  <c r="C40" i="1"/>
  <c r="C49" i="3" s="1"/>
  <c r="C7"/>
  <c r="M5" s="1"/>
  <c r="E16" i="4"/>
  <c r="D16"/>
  <c r="E7" i="3"/>
  <c r="M7" s="1"/>
  <c r="E8"/>
  <c r="N7" s="1"/>
  <c r="C16" i="4"/>
  <c r="E47" i="3"/>
  <c r="E55"/>
  <c r="N3" i="1"/>
  <c r="E50" i="3"/>
  <c r="E54"/>
  <c r="E46"/>
  <c r="C47"/>
  <c r="D52"/>
  <c r="D47"/>
  <c r="D51"/>
  <c r="D55"/>
  <c r="D32"/>
  <c r="M24" i="1"/>
  <c r="M13"/>
  <c r="D34" i="3"/>
  <c r="D36"/>
  <c r="D38"/>
  <c r="D40"/>
  <c r="M26" i="1"/>
  <c r="M7"/>
  <c r="M23"/>
  <c r="M10"/>
  <c r="M22"/>
  <c r="M5"/>
  <c r="M21"/>
  <c r="M8"/>
  <c r="N25"/>
  <c r="E33" i="3"/>
  <c r="E35"/>
  <c r="E37"/>
  <c r="E39"/>
  <c r="E41"/>
  <c r="N23" i="1"/>
  <c r="N27"/>
  <c r="E32" i="3"/>
  <c r="N20" i="1"/>
  <c r="N7"/>
  <c r="N6"/>
  <c r="N13"/>
  <c r="N9"/>
  <c r="N12"/>
  <c r="L18"/>
  <c r="L27"/>
  <c r="L25"/>
  <c r="L29"/>
  <c r="L13"/>
  <c r="L10"/>
  <c r="L9"/>
  <c r="C40" i="3"/>
  <c r="C41"/>
  <c r="L28" i="1"/>
  <c r="L20"/>
  <c r="L8"/>
  <c r="L7"/>
  <c r="C34" i="3"/>
  <c r="C35"/>
  <c r="N8" i="1" l="1"/>
  <c r="N5"/>
  <c r="N24"/>
  <c r="N22"/>
  <c r="N10"/>
  <c r="N11"/>
  <c r="N28"/>
  <c r="N17"/>
  <c r="N26"/>
  <c r="N18"/>
  <c r="E40" i="3"/>
  <c r="E38"/>
  <c r="E36"/>
  <c r="E34"/>
  <c r="N29" i="1"/>
  <c r="N21"/>
  <c r="E56" i="3"/>
  <c r="E52"/>
  <c r="E48"/>
  <c r="E57"/>
  <c r="E51"/>
  <c r="D56"/>
  <c r="D48"/>
  <c r="C56"/>
  <c r="C48"/>
  <c r="C55"/>
  <c r="C39"/>
  <c r="C38"/>
  <c r="L11" i="1"/>
  <c r="L12"/>
  <c r="L24"/>
  <c r="C37" i="3"/>
  <c r="C36"/>
  <c r="L5" i="1"/>
  <c r="L6"/>
  <c r="L17"/>
  <c r="L22"/>
  <c r="L26"/>
  <c r="L23"/>
  <c r="C33" i="3"/>
  <c r="M17" i="1"/>
  <c r="M12"/>
  <c r="M29"/>
  <c r="M9"/>
  <c r="M6"/>
  <c r="M18"/>
  <c r="M27"/>
  <c r="M11"/>
  <c r="D41" i="3"/>
  <c r="D39"/>
  <c r="D37"/>
  <c r="D35"/>
  <c r="D33"/>
  <c r="M28" i="1"/>
  <c r="M20"/>
  <c r="D57" i="3"/>
  <c r="D53"/>
  <c r="D49"/>
  <c r="D46"/>
  <c r="D54"/>
  <c r="D50"/>
  <c r="M3" i="1"/>
  <c r="C52" i="3"/>
  <c r="C32"/>
  <c r="C51"/>
  <c r="E53"/>
  <c r="C46"/>
  <c r="C54"/>
  <c r="C50"/>
  <c r="L3" i="1"/>
  <c r="L14" s="1"/>
  <c r="C7" i="4" s="1"/>
  <c r="C57" i="3"/>
  <c r="C53"/>
  <c r="E42"/>
  <c r="L30" i="1"/>
  <c r="C8" i="4" s="1"/>
  <c r="N14" i="1"/>
  <c r="E7" i="4" s="1"/>
  <c r="N30" i="1"/>
  <c r="E8" i="4" s="1"/>
  <c r="E58" i="3" l="1"/>
  <c r="C42"/>
  <c r="M30" i="1"/>
  <c r="D8" i="4" s="1"/>
  <c r="D42" i="3"/>
  <c r="C9" i="4"/>
  <c r="C21" s="1"/>
  <c r="E9"/>
  <c r="E21" s="1"/>
  <c r="M14" i="1"/>
  <c r="D7" i="4" s="1"/>
  <c r="D9" s="1"/>
  <c r="D21" s="1"/>
  <c r="D58" i="3"/>
  <c r="C58"/>
</calcChain>
</file>

<file path=xl/sharedStrings.xml><?xml version="1.0" encoding="utf-8"?>
<sst xmlns="http://schemas.openxmlformats.org/spreadsheetml/2006/main" count="172" uniqueCount="125">
  <si>
    <t>Quantity</t>
  </si>
  <si>
    <t>DMS Manager</t>
  </si>
  <si>
    <t>Field/DMS Supervisors</t>
  </si>
  <si>
    <t>Rear Loader Operator</t>
  </si>
  <si>
    <t>Loader Operators</t>
  </si>
  <si>
    <t>Truck Drivers</t>
  </si>
  <si>
    <t>Clerical/Administrative</t>
  </si>
  <si>
    <t>Open Top Brush Truck</t>
  </si>
  <si>
    <t>Roll-off Trailer</t>
  </si>
  <si>
    <t>Dump Trucks</t>
  </si>
  <si>
    <t>Type</t>
  </si>
  <si>
    <t>Rear Loaders</t>
  </si>
  <si>
    <t>Rotor Booms</t>
  </si>
  <si>
    <t>Rubber-Tire Loaders</t>
  </si>
  <si>
    <t>Gradall w/ Brush Attachment</t>
  </si>
  <si>
    <t>Backhoe w/ Brush Attachment</t>
  </si>
  <si>
    <t>1/2 Ton Pickup</t>
  </si>
  <si>
    <t>Scenario 1</t>
  </si>
  <si>
    <t>Scenario 2</t>
  </si>
  <si>
    <t>Scenario 3</t>
  </si>
  <si>
    <t>Position</t>
  </si>
  <si>
    <t>Manager of Solid Waste</t>
  </si>
  <si>
    <t>Solid Waste Supervisors</t>
  </si>
  <si>
    <t>Asst. Manager of Solid Waste</t>
  </si>
  <si>
    <t>Debris Management Position</t>
  </si>
  <si>
    <t>Salary+ Fringe</t>
  </si>
  <si>
    <t>Scenario 1 - Small Event</t>
  </si>
  <si>
    <t>Scenario 2 - Medium Event</t>
  </si>
  <si>
    <t>Scenario 3 - Large Event</t>
  </si>
  <si>
    <t>Scenario</t>
  </si>
  <si>
    <t>Estimated Working Days</t>
  </si>
  <si>
    <t>Table 1 - Debris Management Staffing Matrix</t>
  </si>
  <si>
    <t>Table 2 - Equipment</t>
  </si>
  <si>
    <t>POSITION 1</t>
  </si>
  <si>
    <t>POSITION 2</t>
  </si>
  <si>
    <t>POSITION 3</t>
  </si>
  <si>
    <t>FEMA 2010 Rate</t>
  </si>
  <si>
    <t>Table 3 - Scenario Design</t>
  </si>
  <si>
    <t>Table 4 - Debris Hauler Cost Estimate</t>
  </si>
  <si>
    <t>Load and Haul</t>
  </si>
  <si>
    <t>Haul-out</t>
  </si>
  <si>
    <t>Estimated Cubic Yards</t>
  </si>
  <si>
    <t>Total</t>
  </si>
  <si>
    <t>Debris Reduction (Grinding)</t>
  </si>
  <si>
    <t>Inbound CY Cost</t>
  </si>
  <si>
    <t>Line Item</t>
  </si>
  <si>
    <t>N/A</t>
  </si>
  <si>
    <t>Total Number of Trucks</t>
  </si>
  <si>
    <t>Item</t>
  </si>
  <si>
    <t>CY</t>
  </si>
  <si>
    <t>Total Trips per Day</t>
  </si>
  <si>
    <t>Average Cubic Yard per Truck</t>
  </si>
  <si>
    <t>Trucks</t>
  </si>
  <si>
    <t>Trips/Day</t>
  </si>
  <si>
    <t>City Only</t>
  </si>
  <si>
    <t>Contractor Only</t>
  </si>
  <si>
    <t>City + Contractor</t>
  </si>
  <si>
    <t>Total Labor Hours</t>
  </si>
  <si>
    <t>Table 1 - Estimated Days to Completion</t>
  </si>
  <si>
    <t xml:space="preserve">Table 2 - Estimated City Staff Labor Hours </t>
  </si>
  <si>
    <t>Amount</t>
  </si>
  <si>
    <t>Units</t>
  </si>
  <si>
    <t>Labor</t>
  </si>
  <si>
    <t>Equipment</t>
  </si>
  <si>
    <t>Force Account</t>
  </si>
  <si>
    <t>Calculation 1 - HIDE</t>
  </si>
  <si>
    <t>Table 5 - Debris Hauler Contractor Estimates</t>
  </si>
  <si>
    <t>Monitoring Cost</t>
  </si>
  <si>
    <t>Table 2 - Vendor Cost Estimate</t>
  </si>
  <si>
    <t>Debris Monitoring</t>
  </si>
  <si>
    <t>Table 3 - Cost Comparison</t>
  </si>
  <si>
    <t>Contractor</t>
  </si>
  <si>
    <t>Table 3 - Estimated Equipment Hours</t>
  </si>
  <si>
    <t>Calculation 3 - Hide</t>
  </si>
  <si>
    <t>Total Equipment Hours</t>
  </si>
  <si>
    <t>yds</t>
  </si>
  <si>
    <t>Volume per acre</t>
  </si>
  <si>
    <t>Road and buffer factor</t>
  </si>
  <si>
    <t>Debris Height</t>
  </si>
  <si>
    <t>Acreage Requirement</t>
  </si>
  <si>
    <t>Table 4 - Acreage Requirement for Debris Management Sites</t>
  </si>
  <si>
    <t>Average Hours/Day</t>
  </si>
  <si>
    <t>Average Trips/Day</t>
  </si>
  <si>
    <t>ADDITIONAL EQUIPMENT I</t>
  </si>
  <si>
    <t>ADDITIONAL EQUIPMENT 3</t>
  </si>
  <si>
    <t>ADDITIONAL EQUIPMENT 2</t>
  </si>
  <si>
    <t>ADDITIONAL STAFF 1</t>
  </si>
  <si>
    <t>ADDITIONAL STAFF 3</t>
  </si>
  <si>
    <t>ADDITIONAL STAFF 2</t>
  </si>
  <si>
    <t>Additional equipment without a hauling capacity should have the capacity field and average trips per day field completed with a "N/A" for non-applicable.</t>
  </si>
  <si>
    <t>Debris Manager/ Field Ops Manager</t>
  </si>
  <si>
    <t xml:space="preserve">All fields must be completed with the exception of fields have bold and underlined figures. </t>
  </si>
  <si>
    <r>
      <t>Inputs Worksheet</t>
    </r>
    <r>
      <rPr>
        <vertAlign val="superscript"/>
        <sz val="10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</si>
  <si>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Rate per pricing sheet from contracted debris haulers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</si>
  <si>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Assumes 90% average load </t>
    </r>
  </si>
  <si>
    <r>
      <t>of Debris Cost</t>
    </r>
    <r>
      <rPr>
        <vertAlign val="superscript"/>
        <sz val="10"/>
        <color theme="1"/>
        <rFont val="Arial"/>
        <family val="2"/>
      </rPr>
      <t>4</t>
    </r>
  </si>
  <si>
    <r>
      <t>CY/Day</t>
    </r>
    <r>
      <rPr>
        <vertAlign val="superscript"/>
        <sz val="10"/>
        <color theme="1"/>
        <rFont val="Arial"/>
        <family val="2"/>
      </rPr>
      <t>3</t>
    </r>
  </si>
  <si>
    <r>
      <t>Rate</t>
    </r>
    <r>
      <rPr>
        <b/>
        <vertAlign val="superscript"/>
        <sz val="10"/>
        <color theme="1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</si>
  <si>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All fields must be completed with the exception of fields have bold and underlined figures. </t>
    </r>
  </si>
  <si>
    <t xml:space="preserve">Capability Assessment </t>
  </si>
  <si>
    <t>Operational Analysis Worksheet</t>
  </si>
  <si>
    <t>Capacity in Cubic Yards (CY)</t>
  </si>
  <si>
    <t>Estimated CY</t>
  </si>
  <si>
    <t>City Force Account</t>
  </si>
  <si>
    <t>City Force Account and Contractor</t>
  </si>
  <si>
    <t>Cost Analysis Worksheet</t>
  </si>
  <si>
    <t>Table 1 - Force Account Cost Estimate</t>
  </si>
  <si>
    <t>Vendor</t>
  </si>
  <si>
    <t>Debris Collection</t>
  </si>
  <si>
    <t>Calculation 2 - HIDE</t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</si>
  <si>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Monitoring cost percentage used for conceptual purposes. Actual costs based on hourly rates and timesheets.</t>
    </r>
  </si>
  <si>
    <t>Equip Rate #</t>
  </si>
  <si>
    <t>8802, 8591</t>
  </si>
  <si>
    <t>*Includes 1 Ton pick-up and (up to) 30CY  Trailer</t>
  </si>
  <si>
    <t>*30 CY Trailer</t>
  </si>
  <si>
    <t>*12 CY Dump Truck</t>
  </si>
  <si>
    <t>*1/2 Ton Pickup</t>
  </si>
  <si>
    <t>Rate Notes</t>
  </si>
  <si>
    <t>*2 CY Loader, Crawler with bucket (average)</t>
  </si>
  <si>
    <t>*1.5 CY Backhoe with bucket (average)</t>
  </si>
  <si>
    <t>*65 HP Skid-Steer Loader (average)</t>
  </si>
  <si>
    <t>*32+ CY Rear Loader/Garbage Truck</t>
  </si>
  <si>
    <t>8724, 8496</t>
  </si>
  <si>
    <t>*30 CY Dump Truck and mounted crane</t>
  </si>
  <si>
    <t>Anytown, Texas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</si>
</sst>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sz val="18"/>
      <color theme="1"/>
      <name val="Arial"/>
      <family val="2"/>
    </font>
    <font>
      <sz val="10"/>
      <color theme="0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vertAlign val="superscript"/>
      <sz val="10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226">
    <xf numFmtId="0" fontId="0" fillId="0" borderId="0" xfId="0"/>
    <xf numFmtId="0" fontId="5" fillId="0" borderId="0" xfId="0" applyFont="1"/>
    <xf numFmtId="0" fontId="6" fillId="3" borderId="10" xfId="5" applyFont="1" applyBorder="1"/>
    <xf numFmtId="0" fontId="6" fillId="3" borderId="11" xfId="5" applyFont="1" applyBorder="1"/>
    <xf numFmtId="0" fontId="6" fillId="3" borderId="22" xfId="5" applyFont="1" applyBorder="1"/>
    <xf numFmtId="0" fontId="6" fillId="3" borderId="12" xfId="5" applyNumberFormat="1" applyFont="1" applyBorder="1"/>
    <xf numFmtId="0" fontId="6" fillId="3" borderId="13" xfId="5" applyFont="1" applyBorder="1"/>
    <xf numFmtId="165" fontId="6" fillId="3" borderId="12" xfId="5" applyNumberFormat="1" applyFont="1" applyBorder="1"/>
    <xf numFmtId="164" fontId="6" fillId="3" borderId="0" xfId="5" applyNumberFormat="1" applyFont="1" applyBorder="1"/>
    <xf numFmtId="164" fontId="6" fillId="3" borderId="13" xfId="5" applyNumberFormat="1" applyFont="1" applyBorder="1"/>
    <xf numFmtId="165" fontId="6" fillId="3" borderId="14" xfId="5" applyNumberFormat="1" applyFont="1" applyBorder="1"/>
    <xf numFmtId="164" fontId="6" fillId="3" borderId="23" xfId="5" applyNumberFormat="1" applyFont="1" applyBorder="1"/>
    <xf numFmtId="164" fontId="6" fillId="3" borderId="15" xfId="5" applyNumberFormat="1" applyFont="1" applyBorder="1"/>
    <xf numFmtId="0" fontId="6" fillId="3" borderId="14" xfId="5" applyNumberFormat="1" applyFont="1" applyBorder="1"/>
    <xf numFmtId="0" fontId="6" fillId="3" borderId="15" xfId="5" applyNumberFormat="1" applyFont="1" applyBorder="1"/>
    <xf numFmtId="164" fontId="6" fillId="3" borderId="12" xfId="5" applyNumberFormat="1" applyFont="1" applyBorder="1"/>
    <xf numFmtId="0" fontId="5" fillId="0" borderId="0" xfId="0" applyFont="1" applyBorder="1"/>
    <xf numFmtId="43" fontId="5" fillId="0" borderId="0" xfId="2" applyFont="1"/>
    <xf numFmtId="43" fontId="5" fillId="0" borderId="0" xfId="0" applyNumberFormat="1" applyFont="1"/>
    <xf numFmtId="0" fontId="5" fillId="0" borderId="0" xfId="0" applyFont="1" applyBorder="1" applyAlignment="1">
      <alignment horizontal="center"/>
    </xf>
    <xf numFmtId="0" fontId="7" fillId="0" borderId="0" xfId="3" applyFont="1" applyFill="1" applyBorder="1" applyAlignment="1">
      <alignment horizontal="center" wrapText="1"/>
    </xf>
    <xf numFmtId="0" fontId="6" fillId="3" borderId="0" xfId="5" applyNumberFormat="1" applyFont="1" applyBorder="1"/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7" fontId="8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3" applyFont="1" applyFill="1" applyBorder="1" applyAlignment="1">
      <alignment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 applyProtection="1">
      <alignment vertical="center"/>
      <protection locked="0"/>
    </xf>
    <xf numFmtId="165" fontId="8" fillId="0" borderId="1" xfId="2" applyNumberFormat="1" applyFont="1" applyBorder="1" applyAlignment="1" applyProtection="1">
      <alignment vertical="center" wrapText="1"/>
      <protection locked="0"/>
    </xf>
    <xf numFmtId="165" fontId="8" fillId="0" borderId="1" xfId="2" applyNumberFormat="1" applyFont="1" applyBorder="1" applyAlignment="1" applyProtection="1">
      <alignment vertical="center"/>
      <protection locked="0"/>
    </xf>
    <xf numFmtId="164" fontId="6" fillId="3" borderId="12" xfId="5" applyNumberFormat="1" applyFont="1" applyBorder="1" applyAlignment="1">
      <alignment vertical="center"/>
    </xf>
    <xf numFmtId="164" fontId="6" fillId="3" borderId="0" xfId="5" applyNumberFormat="1" applyFont="1" applyBorder="1" applyAlignment="1">
      <alignment vertical="center"/>
    </xf>
    <xf numFmtId="164" fontId="6" fillId="3" borderId="13" xfId="5" applyNumberFormat="1" applyFont="1" applyBorder="1" applyAlignment="1">
      <alignment vertical="center"/>
    </xf>
    <xf numFmtId="0" fontId="6" fillId="3" borderId="14" xfId="5" applyFont="1" applyBorder="1" applyAlignment="1">
      <alignment vertical="center"/>
    </xf>
    <xf numFmtId="164" fontId="6" fillId="3" borderId="23" xfId="5" applyNumberFormat="1" applyFont="1" applyBorder="1" applyAlignment="1">
      <alignment vertical="center"/>
    </xf>
    <xf numFmtId="164" fontId="6" fillId="3" borderId="15" xfId="5" applyNumberFormat="1" applyFont="1" applyBorder="1" applyAlignment="1">
      <alignment vertical="center"/>
    </xf>
    <xf numFmtId="0" fontId="8" fillId="0" borderId="2" xfId="0" applyFont="1" applyFill="1" applyBorder="1" applyAlignment="1" applyProtection="1">
      <alignment vertical="center"/>
      <protection locked="0"/>
    </xf>
    <xf numFmtId="43" fontId="8" fillId="0" borderId="1" xfId="2" applyFont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43" fontId="8" fillId="0" borderId="5" xfId="2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wrapText="1"/>
      <protection locked="0"/>
    </xf>
    <xf numFmtId="165" fontId="8" fillId="0" borderId="1" xfId="2" applyNumberFormat="1" applyFont="1" applyBorder="1" applyAlignment="1" applyProtection="1">
      <alignment horizontal="center" wrapText="1"/>
      <protection locked="0"/>
    </xf>
    <xf numFmtId="7" fontId="8" fillId="0" borderId="3" xfId="1" applyNumberFormat="1" applyFont="1" applyBorder="1" applyAlignment="1" applyProtection="1">
      <alignment horizontal="right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165" fontId="8" fillId="0" borderId="5" xfId="2" applyNumberFormat="1" applyFont="1" applyBorder="1" applyAlignment="1" applyProtection="1">
      <alignment horizontal="center" wrapText="1"/>
      <protection locked="0"/>
    </xf>
    <xf numFmtId="7" fontId="8" fillId="0" borderId="6" xfId="1" applyNumberFormat="1" applyFont="1" applyBorder="1" applyAlignment="1" applyProtection="1">
      <alignment horizontal="right" wrapText="1"/>
      <protection locked="0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165" fontId="8" fillId="0" borderId="1" xfId="2" applyNumberFormat="1" applyFont="1" applyFill="1" applyBorder="1" applyAlignment="1">
      <alignment horizontal="center" vertical="center" wrapText="1"/>
    </xf>
    <xf numFmtId="165" fontId="8" fillId="0" borderId="3" xfId="2" applyNumberFormat="1" applyFont="1" applyFill="1" applyBorder="1" applyAlignment="1">
      <alignment horizontal="center" vertical="center" wrapText="1"/>
    </xf>
    <xf numFmtId="165" fontId="8" fillId="0" borderId="25" xfId="2" applyNumberFormat="1" applyFont="1" applyFill="1" applyBorder="1" applyAlignment="1">
      <alignment horizontal="center" vertical="center" wrapText="1"/>
    </xf>
    <xf numFmtId="165" fontId="8" fillId="0" borderId="26" xfId="2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/>
    <xf numFmtId="0" fontId="12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Fill="1" applyBorder="1"/>
    <xf numFmtId="165" fontId="8" fillId="0" borderId="0" xfId="2" applyNumberFormat="1" applyFont="1" applyFill="1" applyBorder="1"/>
    <xf numFmtId="0" fontId="13" fillId="0" borderId="0" xfId="0" applyFont="1"/>
    <xf numFmtId="0" fontId="8" fillId="0" borderId="2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9" fillId="0" borderId="20" xfId="0" applyFont="1" applyBorder="1" applyAlignment="1">
      <alignment vertical="center"/>
    </xf>
    <xf numFmtId="165" fontId="9" fillId="0" borderId="20" xfId="0" applyNumberFormat="1" applyFont="1" applyBorder="1" applyAlignment="1">
      <alignment vertical="center"/>
    </xf>
    <xf numFmtId="165" fontId="9" fillId="0" borderId="21" xfId="0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65" fontId="8" fillId="0" borderId="5" xfId="2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5" fontId="8" fillId="0" borderId="3" xfId="2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165" fontId="8" fillId="0" borderId="25" xfId="2" applyNumberFormat="1" applyFont="1" applyFill="1" applyBorder="1" applyAlignment="1">
      <alignment vertical="center"/>
    </xf>
    <xf numFmtId="165" fontId="8" fillId="0" borderId="26" xfId="2" applyNumberFormat="1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65" fontId="4" fillId="0" borderId="20" xfId="0" applyNumberFormat="1" applyFont="1" applyBorder="1" applyAlignment="1">
      <alignment vertical="center"/>
    </xf>
    <xf numFmtId="165" fontId="4" fillId="0" borderId="2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5" fontId="5" fillId="0" borderId="1" xfId="1" applyNumberFormat="1" applyFont="1" applyBorder="1" applyAlignment="1">
      <alignment vertical="center"/>
    </xf>
    <xf numFmtId="5" fontId="5" fillId="0" borderId="3" xfId="1" applyNumberFormat="1" applyFont="1" applyBorder="1" applyAlignment="1">
      <alignment vertical="center"/>
    </xf>
    <xf numFmtId="5" fontId="4" fillId="0" borderId="5" xfId="1" applyNumberFormat="1" applyFont="1" applyBorder="1" applyAlignment="1">
      <alignment vertical="center"/>
    </xf>
    <xf numFmtId="5" fontId="4" fillId="0" borderId="6" xfId="1" applyNumberFormat="1" applyFont="1" applyBorder="1" applyAlignment="1">
      <alignment vertical="center"/>
    </xf>
    <xf numFmtId="5" fontId="5" fillId="0" borderId="1" xfId="0" applyNumberFormat="1" applyFont="1" applyBorder="1" applyAlignment="1">
      <alignment vertical="center"/>
    </xf>
    <xf numFmtId="5" fontId="5" fillId="0" borderId="3" xfId="0" applyNumberFormat="1" applyFont="1" applyBorder="1" applyAlignment="1">
      <alignment vertical="center"/>
    </xf>
    <xf numFmtId="5" fontId="5" fillId="0" borderId="25" xfId="1" applyNumberFormat="1" applyFont="1" applyBorder="1" applyAlignment="1">
      <alignment vertical="center"/>
    </xf>
    <xf numFmtId="5" fontId="5" fillId="0" borderId="26" xfId="1" applyNumberFormat="1" applyFont="1" applyBorder="1" applyAlignment="1">
      <alignment vertical="center"/>
    </xf>
    <xf numFmtId="5" fontId="5" fillId="0" borderId="17" xfId="0" applyNumberFormat="1" applyFont="1" applyBorder="1" applyAlignment="1">
      <alignment vertical="center"/>
    </xf>
    <xf numFmtId="5" fontId="5" fillId="0" borderId="18" xfId="0" applyNumberFormat="1" applyFont="1" applyBorder="1" applyAlignment="1">
      <alignment vertical="center"/>
    </xf>
    <xf numFmtId="5" fontId="5" fillId="0" borderId="5" xfId="0" applyNumberFormat="1" applyFont="1" applyBorder="1" applyAlignment="1">
      <alignment vertical="center"/>
    </xf>
    <xf numFmtId="5" fontId="5" fillId="0" borderId="6" xfId="0" applyNumberFormat="1" applyFont="1" applyBorder="1" applyAlignment="1">
      <alignment vertical="center"/>
    </xf>
    <xf numFmtId="0" fontId="4" fillId="5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/>
    <xf numFmtId="0" fontId="4" fillId="5" borderId="36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7" fontId="8" fillId="0" borderId="1" xfId="1" applyNumberFormat="1" applyFont="1" applyBorder="1" applyAlignment="1" applyProtection="1">
      <alignment vertical="center"/>
      <protection locked="0"/>
    </xf>
    <xf numFmtId="7" fontId="8" fillId="0" borderId="31" xfId="1" applyNumberFormat="1" applyFont="1" applyBorder="1" applyAlignment="1" applyProtection="1">
      <alignment vertical="center"/>
      <protection locked="0"/>
    </xf>
    <xf numFmtId="7" fontId="8" fillId="0" borderId="25" xfId="1" applyNumberFormat="1" applyFont="1" applyBorder="1" applyAlignment="1" applyProtection="1">
      <alignment vertical="center"/>
      <protection locked="0"/>
    </xf>
    <xf numFmtId="7" fontId="8" fillId="0" borderId="5" xfId="1" applyNumberFormat="1" applyFont="1" applyBorder="1" applyAlignment="1" applyProtection="1">
      <alignment vertical="center"/>
      <protection locked="0"/>
    </xf>
    <xf numFmtId="0" fontId="4" fillId="0" borderId="22" xfId="0" applyFont="1" applyFill="1" applyBorder="1" applyAlignment="1">
      <alignment horizontal="center"/>
    </xf>
    <xf numFmtId="0" fontId="8" fillId="0" borderId="26" xfId="1" applyNumberFormat="1" applyFont="1" applyBorder="1" applyAlignment="1" applyProtection="1">
      <alignment horizontal="right" vertical="center"/>
      <protection locked="0"/>
    </xf>
    <xf numFmtId="0" fontId="8" fillId="0" borderId="3" xfId="1" applyNumberFormat="1" applyFont="1" applyBorder="1" applyAlignment="1" applyProtection="1">
      <alignment horizontal="right" vertical="center"/>
      <protection locked="0"/>
    </xf>
    <xf numFmtId="0" fontId="8" fillId="0" borderId="41" xfId="1" applyNumberFormat="1" applyFont="1" applyBorder="1" applyAlignment="1" applyProtection="1">
      <alignment horizontal="right" vertical="center"/>
      <protection locked="0"/>
    </xf>
    <xf numFmtId="0" fontId="8" fillId="0" borderId="42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4" fontId="6" fillId="3" borderId="7" xfId="5" applyNumberFormat="1" applyFont="1" applyBorder="1"/>
    <xf numFmtId="164" fontId="6" fillId="3" borderId="8" xfId="5" applyNumberFormat="1" applyFont="1" applyBorder="1"/>
    <xf numFmtId="0" fontId="5" fillId="0" borderId="8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7" fontId="14" fillId="0" borderId="1" xfId="1" applyNumberFormat="1" applyFont="1" applyFill="1" applyBorder="1" applyAlignment="1">
      <alignment horizontal="right" vertical="center"/>
    </xf>
    <xf numFmtId="7" fontId="14" fillId="0" borderId="3" xfId="1" applyNumberFormat="1" applyFont="1" applyFill="1" applyBorder="1" applyAlignment="1">
      <alignment horizontal="right" vertical="center"/>
    </xf>
    <xf numFmtId="0" fontId="4" fillId="5" borderId="18" xfId="0" applyFont="1" applyFill="1" applyBorder="1" applyAlignment="1">
      <alignment horizontal="center" vertical="center" wrapText="1"/>
    </xf>
    <xf numFmtId="37" fontId="15" fillId="0" borderId="1" xfId="2" applyNumberFormat="1" applyFont="1" applyFill="1" applyBorder="1" applyAlignment="1">
      <alignment horizontal="center" vertical="center" wrapText="1"/>
    </xf>
    <xf numFmtId="37" fontId="15" fillId="0" borderId="5" xfId="2" applyNumberFormat="1" applyFont="1" applyFill="1" applyBorder="1" applyAlignment="1">
      <alignment horizontal="center" vertical="center" wrapText="1"/>
    </xf>
    <xf numFmtId="7" fontId="14" fillId="0" borderId="5" xfId="1" applyNumberFormat="1" applyFont="1" applyFill="1" applyBorder="1" applyAlignment="1">
      <alignment horizontal="right" vertical="center"/>
    </xf>
    <xf numFmtId="7" fontId="14" fillId="0" borderId="6" xfId="1" applyNumberFormat="1" applyFont="1" applyFill="1" applyBorder="1" applyAlignment="1">
      <alignment horizontal="right" vertical="center"/>
    </xf>
    <xf numFmtId="7" fontId="8" fillId="0" borderId="1" xfId="1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wrapText="1"/>
      <protection locked="0"/>
    </xf>
    <xf numFmtId="0" fontId="18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wrapText="1"/>
      <protection locked="0"/>
    </xf>
    <xf numFmtId="0" fontId="4" fillId="5" borderId="27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9" fontId="8" fillId="0" borderId="5" xfId="4" applyFont="1" applyBorder="1" applyAlignment="1" applyProtection="1">
      <alignment horizontal="center" vertical="center"/>
      <protection locked="0"/>
    </xf>
    <xf numFmtId="37" fontId="14" fillId="0" borderId="1" xfId="2" applyNumberFormat="1" applyFont="1" applyFill="1" applyBorder="1" applyAlignment="1">
      <alignment horizontal="center" vertical="center"/>
    </xf>
    <xf numFmtId="37" fontId="8" fillId="0" borderId="1" xfId="2" applyNumberFormat="1" applyFont="1" applyBorder="1" applyAlignment="1" applyProtection="1">
      <alignment horizontal="center" vertical="center"/>
      <protection locked="0"/>
    </xf>
    <xf numFmtId="37" fontId="8" fillId="0" borderId="34" xfId="2" applyNumberFormat="1" applyFont="1" applyBorder="1" applyAlignment="1" applyProtection="1">
      <alignment horizontal="center" vertical="center"/>
      <protection locked="0"/>
    </xf>
    <xf numFmtId="37" fontId="8" fillId="0" borderId="29" xfId="2" applyNumberFormat="1" applyFont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65" fontId="8" fillId="0" borderId="1" xfId="2" applyNumberFormat="1" applyFont="1" applyBorder="1" applyAlignment="1" applyProtection="1">
      <alignment horizontal="center" vertical="center"/>
      <protection locked="0"/>
    </xf>
    <xf numFmtId="165" fontId="8" fillId="0" borderId="3" xfId="2" applyNumberFormat="1" applyFont="1" applyBorder="1" applyAlignment="1" applyProtection="1">
      <alignment horizontal="center" vertical="center"/>
      <protection locked="0"/>
    </xf>
    <xf numFmtId="165" fontId="8" fillId="0" borderId="5" xfId="2" applyNumberFormat="1" applyFont="1" applyBorder="1" applyAlignment="1" applyProtection="1">
      <alignment horizontal="center" vertical="center"/>
      <protection locked="0"/>
    </xf>
    <xf numFmtId="165" fontId="8" fillId="0" borderId="6" xfId="2" applyNumberFormat="1" applyFont="1" applyBorder="1" applyAlignment="1" applyProtection="1">
      <alignment horizontal="center" vertical="center"/>
      <protection locked="0"/>
    </xf>
    <xf numFmtId="165" fontId="8" fillId="0" borderId="1" xfId="2" applyNumberFormat="1" applyFont="1" applyBorder="1" applyAlignment="1">
      <alignment horizontal="center" vertical="center"/>
    </xf>
    <xf numFmtId="165" fontId="8" fillId="0" borderId="5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6" xfId="0" applyFont="1" applyFill="1" applyBorder="1" applyAlignment="1"/>
    <xf numFmtId="0" fontId="5" fillId="5" borderId="17" xfId="0" applyFont="1" applyFill="1" applyBorder="1" applyAlignment="1"/>
  </cellXfs>
  <cellStyles count="6">
    <cellStyle name="Bad" xfId="5" builtinId="27"/>
    <cellStyle name="Comma" xfId="2" builtinId="3"/>
    <cellStyle name="Currency" xfId="1" builtinId="4"/>
    <cellStyle name="Good" xfId="3" builtinId="26"/>
    <cellStyle name="Normal" xfId="0" builtinId="0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'Operational Analysis'!$L$5</c:f>
              <c:strCache>
                <c:ptCount val="1"/>
                <c:pt idx="0">
                  <c:v>City Force Account</c:v>
                </c:pt>
              </c:strCache>
            </c:strRef>
          </c:tx>
          <c:cat>
            <c:strRef>
              <c:f>'Operational Analysis'!$M$4:$O$4</c:f>
              <c:strCache>
                <c:ptCount val="3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</c:strCache>
            </c:strRef>
          </c:cat>
          <c:val>
            <c:numRef>
              <c:f>'Operational Analysis'!$M$5:$O$5</c:f>
              <c:numCache>
                <c:formatCode>General</c:formatCode>
                <c:ptCount val="3"/>
                <c:pt idx="0">
                  <c:v>8</c:v>
                </c:pt>
                <c:pt idx="1">
                  <c:v>39</c:v>
                </c:pt>
                <c:pt idx="2">
                  <c:v>177</c:v>
                </c:pt>
              </c:numCache>
            </c:numRef>
          </c:val>
        </c:ser>
        <c:ser>
          <c:idx val="1"/>
          <c:order val="1"/>
          <c:tx>
            <c:strRef>
              <c:f>'Operational Analysis'!$L$6</c:f>
              <c:strCache>
                <c:ptCount val="1"/>
                <c:pt idx="0">
                  <c:v>Contractor</c:v>
                </c:pt>
              </c:strCache>
            </c:strRef>
          </c:tx>
          <c:cat>
            <c:strRef>
              <c:f>'Operational Analysis'!$M$4:$O$4</c:f>
              <c:strCache>
                <c:ptCount val="3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</c:strCache>
            </c:strRef>
          </c:cat>
          <c:val>
            <c:numRef>
              <c:f>'Operational Analysis'!$M$6:$O$6</c:f>
              <c:numCache>
                <c:formatCode>General</c:formatCode>
                <c:ptCount val="3"/>
                <c:pt idx="0">
                  <c:v>3</c:v>
                </c:pt>
                <c:pt idx="1">
                  <c:v>12</c:v>
                </c:pt>
                <c:pt idx="2">
                  <c:v>53</c:v>
                </c:pt>
              </c:numCache>
            </c:numRef>
          </c:val>
        </c:ser>
        <c:ser>
          <c:idx val="2"/>
          <c:order val="2"/>
          <c:tx>
            <c:strRef>
              <c:f>'Operational Analysis'!$L$7</c:f>
              <c:strCache>
                <c:ptCount val="1"/>
                <c:pt idx="0">
                  <c:v>City Force Account and Contractor</c:v>
                </c:pt>
              </c:strCache>
            </c:strRef>
          </c:tx>
          <c:cat>
            <c:strRef>
              <c:f>'Operational Analysis'!$M$4:$O$4</c:f>
              <c:strCache>
                <c:ptCount val="3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</c:strCache>
            </c:strRef>
          </c:cat>
          <c:val>
            <c:numRef>
              <c:f>'Operational Analysis'!$M$7:$O$7</c:f>
              <c:numCache>
                <c:formatCode>General</c:formatCode>
                <c:ptCount val="3"/>
                <c:pt idx="0">
                  <c:v>2</c:v>
                </c:pt>
                <c:pt idx="1">
                  <c:v>9</c:v>
                </c:pt>
                <c:pt idx="2">
                  <c:v>41</c:v>
                </c:pt>
              </c:numCache>
            </c:numRef>
          </c:val>
        </c:ser>
        <c:dLbls>
          <c:showVal val="1"/>
        </c:dLbls>
        <c:gapWidth val="75"/>
        <c:axId val="52873088"/>
        <c:axId val="55762944"/>
      </c:barChart>
      <c:catAx>
        <c:axId val="52873088"/>
        <c:scaling>
          <c:orientation val="minMax"/>
        </c:scaling>
        <c:axPos val="b"/>
        <c:numFmt formatCode="General" sourceLinked="1"/>
        <c:majorTickMark val="none"/>
        <c:tickLblPos val="nextTo"/>
        <c:crossAx val="55762944"/>
        <c:crosses val="autoZero"/>
        <c:auto val="1"/>
        <c:lblAlgn val="ctr"/>
        <c:lblOffset val="100"/>
      </c:catAx>
      <c:valAx>
        <c:axId val="55762944"/>
        <c:scaling>
          <c:orientation val="minMax"/>
        </c:scaling>
        <c:axPos val="l"/>
        <c:numFmt formatCode="General" sourceLinked="1"/>
        <c:majorTickMark val="none"/>
        <c:tickLblPos val="nextTo"/>
        <c:crossAx val="52873088"/>
        <c:crosses val="autoZero"/>
        <c:crossBetween val="between"/>
      </c:valAx>
    </c:plotArea>
    <c:legend>
      <c:legendPos val="b"/>
      <c:layout/>
    </c:legend>
    <c:plotVisOnly val="1"/>
  </c:chart>
  <c:spPr>
    <a:ln>
      <a:solidFill>
        <a:schemeClr val="tx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10</xdr:row>
      <xdr:rowOff>47625</xdr:rowOff>
    </xdr:from>
    <xdr:to>
      <xdr:col>4</xdr:col>
      <xdr:colOff>47625</xdr:colOff>
      <xdr:row>27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3"/>
  <sheetViews>
    <sheetView zoomScaleNormal="100" workbookViewId="0">
      <pane ySplit="3" topLeftCell="A16" activePane="bottomLeft" state="frozen"/>
      <selection pane="bottomLeft" activeCell="D43" sqref="D43"/>
    </sheetView>
  </sheetViews>
  <sheetFormatPr defaultRowHeight="12.75"/>
  <cols>
    <col min="1" max="1" width="27" style="1" customWidth="1"/>
    <col min="2" max="2" width="15.28515625" style="1" customWidth="1"/>
    <col min="3" max="3" width="10.42578125" style="1" customWidth="1"/>
    <col min="4" max="4" width="9.85546875" style="1" customWidth="1"/>
    <col min="5" max="5" width="12.28515625" style="1" customWidth="1"/>
    <col min="6" max="6" width="10.85546875" style="1" customWidth="1"/>
    <col min="7" max="7" width="12.85546875" style="1" customWidth="1"/>
    <col min="8" max="11" width="9.140625" style="1" hidden="1" customWidth="1"/>
    <col min="12" max="12" width="11.5703125" style="1" hidden="1" customWidth="1"/>
    <col min="13" max="13" width="12.5703125" style="1" hidden="1" customWidth="1"/>
    <col min="14" max="14" width="14.28515625" style="1" hidden="1" customWidth="1"/>
    <col min="15" max="15" width="0" style="1" hidden="1" customWidth="1"/>
    <col min="16" max="16" width="1.140625" style="1" customWidth="1"/>
    <col min="17" max="16384" width="9.140625" style="1"/>
  </cols>
  <sheetData>
    <row r="1" spans="1:14" ht="24" customHeight="1" thickBot="1">
      <c r="A1" s="146" t="s">
        <v>124</v>
      </c>
      <c r="B1" s="147"/>
      <c r="C1" s="147"/>
      <c r="D1" s="147"/>
      <c r="E1" s="147"/>
      <c r="F1" s="147"/>
      <c r="G1" s="148"/>
    </row>
    <row r="2" spans="1:14" ht="15" customHeight="1">
      <c r="A2" s="143" t="s">
        <v>99</v>
      </c>
      <c r="B2" s="144"/>
      <c r="C2" s="144"/>
      <c r="D2" s="144"/>
      <c r="E2" s="144"/>
      <c r="F2" s="144"/>
      <c r="G2" s="145"/>
      <c r="H2" s="4" t="s">
        <v>65</v>
      </c>
      <c r="I2" s="3"/>
      <c r="K2" s="2" t="s">
        <v>109</v>
      </c>
      <c r="L2" s="4"/>
      <c r="M2" s="4"/>
      <c r="N2" s="3"/>
    </row>
    <row r="3" spans="1:14" ht="15.75" customHeight="1" thickBot="1">
      <c r="A3" s="140" t="s">
        <v>92</v>
      </c>
      <c r="B3" s="141"/>
      <c r="C3" s="141"/>
      <c r="D3" s="141"/>
      <c r="E3" s="141"/>
      <c r="F3" s="141"/>
      <c r="G3" s="142"/>
      <c r="H3" s="21">
        <f>IF(B23="N/A",0,B23*C23*D23)</f>
        <v>250</v>
      </c>
      <c r="I3" s="6">
        <f>H3*0.9</f>
        <v>225</v>
      </c>
      <c r="K3" s="7">
        <f>F8*E8*D8</f>
        <v>200</v>
      </c>
      <c r="L3" s="8">
        <f>K3*$C$40</f>
        <v>1600</v>
      </c>
      <c r="M3" s="8">
        <f>K3*$C$41</f>
        <v>7800</v>
      </c>
      <c r="N3" s="9">
        <f>K3*$C$42</f>
        <v>35400</v>
      </c>
    </row>
    <row r="4" spans="1:14" ht="32.25" customHeight="1">
      <c r="A4" s="170" t="s">
        <v>91</v>
      </c>
      <c r="B4" s="171"/>
      <c r="C4" s="171"/>
      <c r="D4" s="171"/>
      <c r="E4" s="171"/>
      <c r="F4" s="171"/>
      <c r="G4" s="124"/>
      <c r="H4" s="21"/>
      <c r="I4" s="6"/>
      <c r="K4" s="7"/>
      <c r="L4" s="8"/>
      <c r="M4" s="8"/>
      <c r="N4" s="9"/>
    </row>
    <row r="5" spans="1:14" ht="13.5" thickBot="1">
      <c r="G5" s="23"/>
      <c r="H5" s="5">
        <f t="shared" ref="H5:H14" si="0">IF(B24="N/A",0,B24*C24*D24)</f>
        <v>150</v>
      </c>
      <c r="I5" s="6">
        <f t="shared" ref="I5:I15" si="1">H5*0.9</f>
        <v>135</v>
      </c>
      <c r="K5" s="7">
        <f t="shared" ref="K5:K13" si="2">F9*E9*D9</f>
        <v>270</v>
      </c>
      <c r="L5" s="8">
        <f t="shared" ref="L5:L13" si="3">K5*$C$40</f>
        <v>2160</v>
      </c>
      <c r="M5" s="8">
        <f t="shared" ref="M5:M13" si="4">K5*$C$41</f>
        <v>10530</v>
      </c>
      <c r="N5" s="9">
        <f t="shared" ref="N5:N13" si="5">K5*$C$42</f>
        <v>47790</v>
      </c>
    </row>
    <row r="6" spans="1:14" ht="27" customHeight="1" thickBot="1">
      <c r="A6" s="137" t="s">
        <v>31</v>
      </c>
      <c r="B6" s="138"/>
      <c r="C6" s="138"/>
      <c r="D6" s="138"/>
      <c r="E6" s="138"/>
      <c r="F6" s="139"/>
      <c r="G6" s="24"/>
      <c r="H6" s="5">
        <f>IF(B25="N/A",0,B25*C25*D25)</f>
        <v>588</v>
      </c>
      <c r="I6" s="6">
        <f>H6*0.9</f>
        <v>529.20000000000005</v>
      </c>
      <c r="K6" s="7">
        <f t="shared" si="2"/>
        <v>1110</v>
      </c>
      <c r="L6" s="8">
        <f t="shared" si="3"/>
        <v>8880</v>
      </c>
      <c r="M6" s="8">
        <f t="shared" si="4"/>
        <v>43290</v>
      </c>
      <c r="N6" s="9">
        <f t="shared" si="5"/>
        <v>196470</v>
      </c>
    </row>
    <row r="7" spans="1:14" ht="27" customHeight="1">
      <c r="A7" s="28" t="s">
        <v>20</v>
      </c>
      <c r="B7" s="173" t="s">
        <v>24</v>
      </c>
      <c r="C7" s="174"/>
      <c r="D7" s="29" t="s">
        <v>0</v>
      </c>
      <c r="E7" s="29" t="s">
        <v>81</v>
      </c>
      <c r="F7" s="30" t="s">
        <v>25</v>
      </c>
      <c r="G7" s="25"/>
      <c r="H7" s="5">
        <f t="shared" si="0"/>
        <v>1920</v>
      </c>
      <c r="I7" s="6">
        <f t="shared" si="1"/>
        <v>1728</v>
      </c>
      <c r="K7" s="7">
        <f t="shared" si="2"/>
        <v>12000</v>
      </c>
      <c r="L7" s="8">
        <f t="shared" si="3"/>
        <v>96000</v>
      </c>
      <c r="M7" s="8">
        <f t="shared" si="4"/>
        <v>468000</v>
      </c>
      <c r="N7" s="9">
        <f t="shared" si="5"/>
        <v>2124000</v>
      </c>
    </row>
    <row r="8" spans="1:14" ht="14.25" customHeight="1">
      <c r="A8" s="48" t="s">
        <v>21</v>
      </c>
      <c r="B8" s="172" t="s">
        <v>90</v>
      </c>
      <c r="C8" s="172"/>
      <c r="D8" s="49">
        <v>1</v>
      </c>
      <c r="E8" s="49">
        <v>4</v>
      </c>
      <c r="F8" s="50">
        <v>50</v>
      </c>
      <c r="G8" s="26"/>
      <c r="H8" s="5">
        <f t="shared" si="0"/>
        <v>240</v>
      </c>
      <c r="I8" s="6">
        <f>H8*0.9</f>
        <v>216</v>
      </c>
      <c r="K8" s="7">
        <f t="shared" si="2"/>
        <v>1800</v>
      </c>
      <c r="L8" s="8">
        <f t="shared" si="3"/>
        <v>14400</v>
      </c>
      <c r="M8" s="8">
        <f t="shared" si="4"/>
        <v>70200</v>
      </c>
      <c r="N8" s="9">
        <f t="shared" si="5"/>
        <v>318600</v>
      </c>
    </row>
    <row r="9" spans="1:14" ht="14.25" customHeight="1">
      <c r="A9" s="48" t="s">
        <v>23</v>
      </c>
      <c r="B9" s="172" t="s">
        <v>1</v>
      </c>
      <c r="C9" s="172"/>
      <c r="D9" s="49">
        <v>1</v>
      </c>
      <c r="E9" s="49">
        <v>6</v>
      </c>
      <c r="F9" s="50">
        <v>45</v>
      </c>
      <c r="G9" s="26"/>
      <c r="H9" s="5">
        <f>IF(B28="N/A",0,B28*C28*D28)</f>
        <v>0</v>
      </c>
      <c r="I9" s="6">
        <f t="shared" si="1"/>
        <v>0</v>
      </c>
      <c r="K9" s="7">
        <f t="shared" si="2"/>
        <v>2500</v>
      </c>
      <c r="L9" s="8">
        <f t="shared" si="3"/>
        <v>20000</v>
      </c>
      <c r="M9" s="8">
        <f t="shared" si="4"/>
        <v>97500</v>
      </c>
      <c r="N9" s="9">
        <f t="shared" si="5"/>
        <v>442500</v>
      </c>
    </row>
    <row r="10" spans="1:14" ht="14.25" customHeight="1">
      <c r="A10" s="48" t="s">
        <v>22</v>
      </c>
      <c r="B10" s="172" t="s">
        <v>2</v>
      </c>
      <c r="C10" s="172"/>
      <c r="D10" s="49">
        <v>3</v>
      </c>
      <c r="E10" s="49">
        <v>10</v>
      </c>
      <c r="F10" s="50">
        <v>37</v>
      </c>
      <c r="G10" s="26"/>
      <c r="H10" s="5">
        <f t="shared" si="0"/>
        <v>0</v>
      </c>
      <c r="I10" s="6">
        <f t="shared" si="1"/>
        <v>0</v>
      </c>
      <c r="K10" s="7">
        <f t="shared" si="2"/>
        <v>300</v>
      </c>
      <c r="L10" s="8">
        <f t="shared" si="3"/>
        <v>2400</v>
      </c>
      <c r="M10" s="8">
        <f t="shared" si="4"/>
        <v>11700</v>
      </c>
      <c r="N10" s="9">
        <f t="shared" si="5"/>
        <v>53100</v>
      </c>
    </row>
    <row r="11" spans="1:14" ht="14.25" customHeight="1">
      <c r="A11" s="48" t="s">
        <v>3</v>
      </c>
      <c r="B11" s="172" t="s">
        <v>3</v>
      </c>
      <c r="C11" s="172"/>
      <c r="D11" s="49">
        <v>48</v>
      </c>
      <c r="E11" s="49">
        <v>10</v>
      </c>
      <c r="F11" s="50">
        <v>25</v>
      </c>
      <c r="G11" s="26"/>
      <c r="H11" s="5">
        <f t="shared" si="0"/>
        <v>0</v>
      </c>
      <c r="I11" s="6">
        <f t="shared" si="1"/>
        <v>0</v>
      </c>
      <c r="K11" s="7">
        <f t="shared" si="2"/>
        <v>0</v>
      </c>
      <c r="L11" s="8">
        <f t="shared" si="3"/>
        <v>0</v>
      </c>
      <c r="M11" s="8">
        <f t="shared" si="4"/>
        <v>0</v>
      </c>
      <c r="N11" s="9">
        <f t="shared" si="5"/>
        <v>0</v>
      </c>
    </row>
    <row r="12" spans="1:14" ht="14.25" customHeight="1">
      <c r="A12" s="48" t="s">
        <v>4</v>
      </c>
      <c r="B12" s="172" t="s">
        <v>4</v>
      </c>
      <c r="C12" s="172"/>
      <c r="D12" s="49">
        <v>6</v>
      </c>
      <c r="E12" s="49">
        <v>10</v>
      </c>
      <c r="F12" s="50">
        <v>30</v>
      </c>
      <c r="G12" s="26"/>
      <c r="H12" s="5">
        <f t="shared" si="0"/>
        <v>0</v>
      </c>
      <c r="I12" s="6">
        <f t="shared" si="1"/>
        <v>0</v>
      </c>
      <c r="K12" s="7">
        <f t="shared" si="2"/>
        <v>0</v>
      </c>
      <c r="L12" s="8">
        <f t="shared" si="3"/>
        <v>0</v>
      </c>
      <c r="M12" s="8">
        <f t="shared" si="4"/>
        <v>0</v>
      </c>
      <c r="N12" s="9">
        <f t="shared" si="5"/>
        <v>0</v>
      </c>
    </row>
    <row r="13" spans="1:14" ht="14.25" customHeight="1">
      <c r="A13" s="48" t="s">
        <v>5</v>
      </c>
      <c r="B13" s="172" t="s">
        <v>5</v>
      </c>
      <c r="C13" s="172"/>
      <c r="D13" s="49">
        <v>10</v>
      </c>
      <c r="E13" s="49">
        <v>10</v>
      </c>
      <c r="F13" s="50">
        <v>25</v>
      </c>
      <c r="G13" s="26"/>
      <c r="H13" s="5">
        <f t="shared" si="0"/>
        <v>0</v>
      </c>
      <c r="I13" s="6">
        <f t="shared" si="1"/>
        <v>0</v>
      </c>
      <c r="K13" s="7">
        <f t="shared" si="2"/>
        <v>0</v>
      </c>
      <c r="L13" s="8">
        <f t="shared" si="3"/>
        <v>0</v>
      </c>
      <c r="M13" s="8">
        <f t="shared" si="4"/>
        <v>0</v>
      </c>
      <c r="N13" s="9">
        <f t="shared" si="5"/>
        <v>0</v>
      </c>
    </row>
    <row r="14" spans="1:14" ht="14.25" customHeight="1" thickBot="1">
      <c r="A14" s="48" t="s">
        <v>6</v>
      </c>
      <c r="B14" s="172" t="s">
        <v>6</v>
      </c>
      <c r="C14" s="172"/>
      <c r="D14" s="49">
        <v>2</v>
      </c>
      <c r="E14" s="49">
        <v>10</v>
      </c>
      <c r="F14" s="50">
        <v>15</v>
      </c>
      <c r="G14" s="26"/>
      <c r="H14" s="5">
        <f t="shared" si="0"/>
        <v>0</v>
      </c>
      <c r="I14" s="6">
        <f t="shared" si="1"/>
        <v>0</v>
      </c>
      <c r="K14" s="10"/>
      <c r="L14" s="11">
        <f>SUM(L3:L13)</f>
        <v>145440</v>
      </c>
      <c r="M14" s="11">
        <f t="shared" ref="M14:N14" si="6">SUM(M3:M13)</f>
        <v>709020</v>
      </c>
      <c r="N14" s="12">
        <f t="shared" si="6"/>
        <v>3217860</v>
      </c>
    </row>
    <row r="15" spans="1:14" ht="14.25" customHeight="1" thickBot="1">
      <c r="A15" s="48" t="s">
        <v>86</v>
      </c>
      <c r="B15" s="172" t="s">
        <v>33</v>
      </c>
      <c r="C15" s="172"/>
      <c r="D15" s="49">
        <v>0</v>
      </c>
      <c r="E15" s="49">
        <v>0</v>
      </c>
      <c r="F15" s="50">
        <v>0</v>
      </c>
      <c r="G15" s="26"/>
      <c r="H15" s="5">
        <f>IF(B34="N/A",0,B34*C34*D34)</f>
        <v>0</v>
      </c>
      <c r="I15" s="6">
        <f t="shared" si="1"/>
        <v>0</v>
      </c>
    </row>
    <row r="16" spans="1:14" ht="14.25" customHeight="1" thickBot="1">
      <c r="A16" s="48" t="s">
        <v>88</v>
      </c>
      <c r="B16" s="172" t="s">
        <v>34</v>
      </c>
      <c r="C16" s="172"/>
      <c r="D16" s="49">
        <v>0</v>
      </c>
      <c r="E16" s="49">
        <v>0</v>
      </c>
      <c r="F16" s="50">
        <v>0</v>
      </c>
      <c r="G16" s="26"/>
      <c r="H16" s="13">
        <f>SUM(H3:H15)</f>
        <v>3148</v>
      </c>
      <c r="I16" s="14">
        <f>SUM(I3:I15)</f>
        <v>2833.2</v>
      </c>
      <c r="K16" s="2" t="s">
        <v>73</v>
      </c>
      <c r="L16" s="4"/>
      <c r="M16" s="4"/>
      <c r="N16" s="3"/>
    </row>
    <row r="17" spans="1:21" ht="14.25" customHeight="1" thickBot="1">
      <c r="A17" s="51" t="s">
        <v>87</v>
      </c>
      <c r="B17" s="169" t="s">
        <v>35</v>
      </c>
      <c r="C17" s="169"/>
      <c r="D17" s="52">
        <v>0</v>
      </c>
      <c r="E17" s="52">
        <v>0</v>
      </c>
      <c r="F17" s="53">
        <v>0</v>
      </c>
      <c r="G17" s="26"/>
      <c r="K17" s="15">
        <f>F23*E23*C23</f>
        <v>680</v>
      </c>
      <c r="L17" s="8">
        <f>K17*$C$40</f>
        <v>5440</v>
      </c>
      <c r="M17" s="8">
        <f>K17*$C$41</f>
        <v>26520</v>
      </c>
      <c r="N17" s="9">
        <f>K17*$C$42</f>
        <v>120360</v>
      </c>
    </row>
    <row r="18" spans="1:21">
      <c r="G18" s="23"/>
      <c r="K18" s="15">
        <f>F24*E24*C24</f>
        <v>140</v>
      </c>
      <c r="L18" s="8">
        <f>K18*$C$40</f>
        <v>1120</v>
      </c>
      <c r="M18" s="8">
        <f>K18*$C$41</f>
        <v>5460</v>
      </c>
      <c r="N18" s="9">
        <f>K18*$C$42</f>
        <v>24780</v>
      </c>
    </row>
    <row r="19" spans="1:21">
      <c r="G19" s="23"/>
      <c r="K19" s="15"/>
      <c r="L19" s="8"/>
      <c r="M19" s="8"/>
      <c r="N19" s="9"/>
    </row>
    <row r="20" spans="1:21" ht="13.5" thickBot="1">
      <c r="A20" s="16"/>
      <c r="B20" s="16"/>
      <c r="C20" s="16"/>
      <c r="D20" s="16"/>
      <c r="E20" s="16"/>
      <c r="F20" s="16"/>
      <c r="G20" s="67"/>
      <c r="K20" s="15">
        <f t="shared" ref="K20:K29" si="7">F25*E25*C25</f>
        <v>4200</v>
      </c>
      <c r="L20" s="8">
        <f t="shared" ref="L20:L29" si="8">K20*$C$40</f>
        <v>33600</v>
      </c>
      <c r="M20" s="8">
        <f t="shared" ref="M20:M29" si="9">K20*$C$41</f>
        <v>163800</v>
      </c>
      <c r="N20" s="9">
        <f t="shared" ref="N20:N29" si="10">K20*$C$42</f>
        <v>743400</v>
      </c>
    </row>
    <row r="21" spans="1:21" ht="24" customHeight="1" thickBot="1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9"/>
      <c r="M21" s="131">
        <f t="shared" si="9"/>
        <v>0</v>
      </c>
      <c r="N21" s="132">
        <f t="shared" si="10"/>
        <v>0</v>
      </c>
      <c r="O21" s="133"/>
      <c r="P21" s="117"/>
      <c r="Q21" s="16"/>
    </row>
    <row r="22" spans="1:21" ht="27" customHeight="1">
      <c r="A22" s="28" t="s">
        <v>10</v>
      </c>
      <c r="B22" s="29" t="s">
        <v>101</v>
      </c>
      <c r="C22" s="29" t="s">
        <v>0</v>
      </c>
      <c r="D22" s="31" t="s">
        <v>82</v>
      </c>
      <c r="E22" s="118" t="s">
        <v>81</v>
      </c>
      <c r="F22" s="112" t="s">
        <v>36</v>
      </c>
      <c r="G22" s="119" t="s">
        <v>111</v>
      </c>
      <c r="H22" s="16"/>
      <c r="I22" s="16"/>
      <c r="J22" s="16"/>
      <c r="K22" s="15">
        <f t="shared" si="7"/>
        <v>4200</v>
      </c>
      <c r="L22" s="9">
        <f t="shared" si="8"/>
        <v>33600</v>
      </c>
      <c r="M22" s="8">
        <f t="shared" si="9"/>
        <v>163800</v>
      </c>
      <c r="N22" s="9">
        <f t="shared" si="10"/>
        <v>743400</v>
      </c>
      <c r="P22" s="16"/>
      <c r="Q22" s="136" t="s">
        <v>117</v>
      </c>
      <c r="R22" s="136"/>
    </row>
    <row r="23" spans="1:21" s="34" customFormat="1" ht="14.25" customHeight="1">
      <c r="A23" s="35" t="s">
        <v>7</v>
      </c>
      <c r="B23" s="36">
        <v>25</v>
      </c>
      <c r="C23" s="37">
        <v>2</v>
      </c>
      <c r="D23" s="37">
        <v>5</v>
      </c>
      <c r="E23" s="37">
        <v>10</v>
      </c>
      <c r="F23" s="120">
        <v>34</v>
      </c>
      <c r="G23" s="125" t="s">
        <v>112</v>
      </c>
      <c r="H23" s="113"/>
      <c r="I23" s="113"/>
      <c r="J23" s="113"/>
      <c r="K23" s="38">
        <f t="shared" si="7"/>
        <v>720</v>
      </c>
      <c r="L23" s="40">
        <f t="shared" si="8"/>
        <v>5760</v>
      </c>
      <c r="M23" s="39">
        <f t="shared" si="9"/>
        <v>28080</v>
      </c>
      <c r="N23" s="40">
        <f t="shared" si="10"/>
        <v>127440</v>
      </c>
      <c r="P23" s="113"/>
      <c r="Q23" s="113" t="s">
        <v>113</v>
      </c>
      <c r="R23" s="113"/>
    </row>
    <row r="24" spans="1:21" s="34" customFormat="1" ht="14.25" customHeight="1">
      <c r="A24" s="35" t="s">
        <v>8</v>
      </c>
      <c r="B24" s="36">
        <v>30</v>
      </c>
      <c r="C24" s="37">
        <v>1</v>
      </c>
      <c r="D24" s="37">
        <v>5</v>
      </c>
      <c r="E24" s="37">
        <v>10</v>
      </c>
      <c r="F24" s="121">
        <v>14</v>
      </c>
      <c r="G24" s="126">
        <v>8591</v>
      </c>
      <c r="H24" s="113"/>
      <c r="I24" s="113"/>
      <c r="J24" s="113"/>
      <c r="K24" s="38">
        <f t="shared" si="7"/>
        <v>420</v>
      </c>
      <c r="L24" s="40">
        <f t="shared" si="8"/>
        <v>3360</v>
      </c>
      <c r="M24" s="39">
        <f t="shared" si="9"/>
        <v>16380</v>
      </c>
      <c r="N24" s="40">
        <f t="shared" si="10"/>
        <v>74340</v>
      </c>
      <c r="P24" s="113"/>
      <c r="Q24" s="134" t="s">
        <v>114</v>
      </c>
      <c r="R24" s="134"/>
    </row>
    <row r="25" spans="1:21" s="34" customFormat="1" ht="14.25" customHeight="1">
      <c r="A25" s="35" t="s">
        <v>9</v>
      </c>
      <c r="B25" s="36">
        <v>12</v>
      </c>
      <c r="C25" s="37">
        <v>7</v>
      </c>
      <c r="D25" s="37">
        <v>7</v>
      </c>
      <c r="E25" s="37">
        <v>10</v>
      </c>
      <c r="F25" s="120">
        <v>60</v>
      </c>
      <c r="G25" s="126">
        <v>8722</v>
      </c>
      <c r="H25" s="113"/>
      <c r="I25" s="113"/>
      <c r="J25" s="113"/>
      <c r="K25" s="38">
        <f>F30*E30*C30</f>
        <v>330</v>
      </c>
      <c r="L25" s="40">
        <f t="shared" si="8"/>
        <v>2640</v>
      </c>
      <c r="M25" s="39">
        <f t="shared" si="9"/>
        <v>12870</v>
      </c>
      <c r="N25" s="40">
        <f t="shared" si="10"/>
        <v>58410</v>
      </c>
      <c r="P25" s="113"/>
      <c r="Q25" s="134" t="s">
        <v>115</v>
      </c>
      <c r="R25" s="134"/>
    </row>
    <row r="26" spans="1:21" s="34" customFormat="1" ht="14.25" customHeight="1">
      <c r="A26" s="35" t="s">
        <v>11</v>
      </c>
      <c r="B26" s="36">
        <f>2*20</f>
        <v>40</v>
      </c>
      <c r="C26" s="37">
        <v>24</v>
      </c>
      <c r="D26" s="37">
        <v>2</v>
      </c>
      <c r="E26" s="37">
        <v>10</v>
      </c>
      <c r="F26" s="121">
        <v>55</v>
      </c>
      <c r="G26" s="126">
        <v>8731</v>
      </c>
      <c r="H26" s="113"/>
      <c r="I26" s="113"/>
      <c r="J26" s="113"/>
      <c r="K26" s="38">
        <f t="shared" si="7"/>
        <v>420</v>
      </c>
      <c r="L26" s="40">
        <f t="shared" si="8"/>
        <v>3360</v>
      </c>
      <c r="M26" s="39">
        <f t="shared" si="9"/>
        <v>16380</v>
      </c>
      <c r="N26" s="40">
        <f t="shared" si="10"/>
        <v>74340</v>
      </c>
      <c r="P26" s="113"/>
      <c r="Q26" s="113" t="s">
        <v>121</v>
      </c>
      <c r="R26" s="113"/>
      <c r="S26" s="113"/>
    </row>
    <row r="27" spans="1:21" s="34" customFormat="1" ht="14.25" customHeight="1">
      <c r="A27" s="35" t="s">
        <v>12</v>
      </c>
      <c r="B27" s="36">
        <v>30</v>
      </c>
      <c r="C27" s="37">
        <v>4</v>
      </c>
      <c r="D27" s="37">
        <v>2</v>
      </c>
      <c r="E27" s="37">
        <v>10</v>
      </c>
      <c r="F27" s="122">
        <v>105</v>
      </c>
      <c r="G27" s="126" t="s">
        <v>122</v>
      </c>
      <c r="H27" s="113"/>
      <c r="I27" s="113"/>
      <c r="J27" s="113"/>
      <c r="K27" s="38">
        <f t="shared" si="7"/>
        <v>0</v>
      </c>
      <c r="L27" s="40">
        <f t="shared" si="8"/>
        <v>0</v>
      </c>
      <c r="M27" s="39">
        <f t="shared" si="9"/>
        <v>0</v>
      </c>
      <c r="N27" s="40">
        <f t="shared" si="10"/>
        <v>0</v>
      </c>
      <c r="P27" s="113"/>
      <c r="Q27" s="134" t="s">
        <v>123</v>
      </c>
      <c r="R27" s="134"/>
      <c r="S27" s="134"/>
      <c r="T27" s="134"/>
      <c r="U27" s="134"/>
    </row>
    <row r="28" spans="1:21" s="34" customFormat="1" ht="14.25" customHeight="1">
      <c r="A28" s="35" t="s">
        <v>13</v>
      </c>
      <c r="B28" s="37" t="s">
        <v>46</v>
      </c>
      <c r="C28" s="37">
        <v>4</v>
      </c>
      <c r="D28" s="37" t="s">
        <v>46</v>
      </c>
      <c r="E28" s="37">
        <v>10</v>
      </c>
      <c r="F28" s="120">
        <v>18</v>
      </c>
      <c r="G28" s="127">
        <v>8541</v>
      </c>
      <c r="H28" s="113"/>
      <c r="I28" s="113"/>
      <c r="J28" s="113"/>
      <c r="K28" s="38">
        <f t="shared" si="7"/>
        <v>0</v>
      </c>
      <c r="L28" s="40">
        <f t="shared" si="8"/>
        <v>0</v>
      </c>
      <c r="M28" s="39">
        <f t="shared" si="9"/>
        <v>0</v>
      </c>
      <c r="N28" s="40">
        <f t="shared" si="10"/>
        <v>0</v>
      </c>
      <c r="P28" s="113"/>
      <c r="Q28" s="134" t="s">
        <v>120</v>
      </c>
      <c r="R28" s="134"/>
      <c r="S28" s="134"/>
      <c r="T28" s="134"/>
      <c r="U28" s="129"/>
    </row>
    <row r="29" spans="1:21" s="34" customFormat="1" ht="14.25" customHeight="1">
      <c r="A29" s="35" t="s">
        <v>14</v>
      </c>
      <c r="B29" s="37" t="s">
        <v>46</v>
      </c>
      <c r="C29" s="37">
        <v>1</v>
      </c>
      <c r="D29" s="37" t="s">
        <v>46</v>
      </c>
      <c r="E29" s="37">
        <v>10</v>
      </c>
      <c r="F29" s="120">
        <v>42</v>
      </c>
      <c r="G29" s="126">
        <v>8382</v>
      </c>
      <c r="H29" s="113"/>
      <c r="I29" s="113"/>
      <c r="J29" s="113"/>
      <c r="K29" s="38">
        <f t="shared" si="7"/>
        <v>0</v>
      </c>
      <c r="L29" s="40">
        <f t="shared" si="8"/>
        <v>0</v>
      </c>
      <c r="M29" s="39">
        <f t="shared" si="9"/>
        <v>0</v>
      </c>
      <c r="N29" s="40">
        <f t="shared" si="10"/>
        <v>0</v>
      </c>
      <c r="P29" s="113"/>
      <c r="Q29" s="135" t="s">
        <v>118</v>
      </c>
      <c r="R29" s="135"/>
      <c r="S29" s="135"/>
      <c r="T29" s="135"/>
    </row>
    <row r="30" spans="1:21" s="34" customFormat="1" ht="14.25" customHeight="1" thickBot="1">
      <c r="A30" s="35" t="s">
        <v>15</v>
      </c>
      <c r="B30" s="37" t="s">
        <v>46</v>
      </c>
      <c r="C30" s="37">
        <v>1</v>
      </c>
      <c r="D30" s="37" t="s">
        <v>46</v>
      </c>
      <c r="E30" s="37">
        <v>10</v>
      </c>
      <c r="F30" s="120">
        <v>33</v>
      </c>
      <c r="G30" s="126">
        <v>8572</v>
      </c>
      <c r="H30" s="113"/>
      <c r="I30" s="113"/>
      <c r="J30" s="113"/>
      <c r="K30" s="41"/>
      <c r="L30" s="43">
        <f>SUM(L17:L29)</f>
        <v>88880</v>
      </c>
      <c r="M30" s="42">
        <f t="shared" ref="M30:N30" si="11">SUM(M17:M29)</f>
        <v>433290</v>
      </c>
      <c r="N30" s="43">
        <f t="shared" si="11"/>
        <v>1966470</v>
      </c>
      <c r="P30" s="113"/>
      <c r="Q30" s="130" t="s">
        <v>119</v>
      </c>
      <c r="R30" s="129"/>
    </row>
    <row r="31" spans="1:21" s="34" customFormat="1" ht="14.25" customHeight="1">
      <c r="A31" s="35" t="s">
        <v>16</v>
      </c>
      <c r="B31" s="37" t="s">
        <v>46</v>
      </c>
      <c r="C31" s="37">
        <v>3</v>
      </c>
      <c r="D31" s="37" t="s">
        <v>46</v>
      </c>
      <c r="E31" s="37">
        <v>10</v>
      </c>
      <c r="F31" s="121">
        <v>14</v>
      </c>
      <c r="G31" s="127">
        <v>8801</v>
      </c>
      <c r="H31" s="113"/>
      <c r="I31" s="113"/>
      <c r="J31" s="113"/>
      <c r="K31" s="113"/>
      <c r="L31" s="114"/>
      <c r="P31" s="113"/>
      <c r="Q31" s="130" t="s">
        <v>116</v>
      </c>
      <c r="R31" s="129"/>
    </row>
    <row r="32" spans="1:21" s="34" customFormat="1" ht="14.25" customHeight="1">
      <c r="A32" s="44" t="s">
        <v>83</v>
      </c>
      <c r="B32" s="45">
        <v>0</v>
      </c>
      <c r="C32" s="45">
        <v>0</v>
      </c>
      <c r="D32" s="45">
        <v>0</v>
      </c>
      <c r="E32" s="45">
        <v>0</v>
      </c>
      <c r="F32" s="122">
        <v>0</v>
      </c>
      <c r="G32" s="125"/>
      <c r="H32" s="113"/>
      <c r="I32" s="113"/>
      <c r="J32" s="113"/>
      <c r="K32" s="113"/>
      <c r="L32" s="114"/>
      <c r="P32" s="113"/>
      <c r="Q32" s="113"/>
    </row>
    <row r="33" spans="1:17" s="34" customFormat="1" ht="14.25" customHeight="1">
      <c r="A33" s="44" t="s">
        <v>85</v>
      </c>
      <c r="B33" s="45">
        <v>0</v>
      </c>
      <c r="C33" s="45">
        <v>0</v>
      </c>
      <c r="D33" s="45">
        <v>0</v>
      </c>
      <c r="E33" s="45">
        <v>0</v>
      </c>
      <c r="F33" s="120">
        <v>0</v>
      </c>
      <c r="G33" s="126"/>
      <c r="H33" s="113"/>
      <c r="I33" s="113"/>
      <c r="J33" s="113"/>
      <c r="K33" s="113"/>
      <c r="L33" s="114"/>
      <c r="P33" s="113"/>
      <c r="Q33" s="113"/>
    </row>
    <row r="34" spans="1:17" s="34" customFormat="1" ht="14.25" customHeight="1" thickBot="1">
      <c r="A34" s="46" t="s">
        <v>84</v>
      </c>
      <c r="B34" s="47">
        <v>0</v>
      </c>
      <c r="C34" s="47">
        <v>0</v>
      </c>
      <c r="D34" s="47">
        <v>0</v>
      </c>
      <c r="E34" s="47">
        <v>0</v>
      </c>
      <c r="F34" s="123">
        <v>0</v>
      </c>
      <c r="G34" s="128"/>
      <c r="H34" s="115"/>
      <c r="I34" s="115"/>
      <c r="J34" s="115"/>
      <c r="K34" s="115"/>
      <c r="L34" s="116"/>
      <c r="P34" s="113"/>
      <c r="Q34" s="113"/>
    </row>
    <row r="35" spans="1:17" ht="15" customHeight="1">
      <c r="A35" s="180" t="s">
        <v>89</v>
      </c>
      <c r="B35" s="180"/>
      <c r="C35" s="180"/>
      <c r="D35" s="180"/>
      <c r="E35" s="180"/>
      <c r="F35" s="181"/>
      <c r="G35" s="22"/>
    </row>
    <row r="36" spans="1:17">
      <c r="A36" s="181"/>
      <c r="B36" s="181"/>
      <c r="C36" s="181"/>
      <c r="D36" s="181"/>
      <c r="E36" s="181"/>
      <c r="F36" s="181"/>
      <c r="G36" s="22"/>
    </row>
    <row r="37" spans="1:17" ht="13.5" thickBot="1"/>
    <row r="38" spans="1:17" ht="27" customHeight="1" thickBot="1">
      <c r="A38" s="185" t="s">
        <v>37</v>
      </c>
      <c r="B38" s="186"/>
      <c r="C38" s="186"/>
      <c r="D38" s="186"/>
      <c r="E38" s="186"/>
      <c r="F38" s="187"/>
    </row>
    <row r="39" spans="1:17" ht="27" customHeight="1">
      <c r="A39" s="188" t="s">
        <v>29</v>
      </c>
      <c r="B39" s="189"/>
      <c r="C39" s="159" t="s">
        <v>30</v>
      </c>
      <c r="D39" s="159"/>
      <c r="E39" s="159" t="s">
        <v>102</v>
      </c>
      <c r="F39" s="162"/>
    </row>
    <row r="40" spans="1:17" s="34" customFormat="1" ht="14.25" customHeight="1">
      <c r="A40" s="190" t="s">
        <v>26</v>
      </c>
      <c r="B40" s="191"/>
      <c r="C40" s="163">
        <f>ROUNDUP(E40/$I$16,0)</f>
        <v>8</v>
      </c>
      <c r="D40" s="163"/>
      <c r="E40" s="194">
        <v>20000</v>
      </c>
      <c r="F40" s="195"/>
    </row>
    <row r="41" spans="1:17" s="34" customFormat="1" ht="14.25" customHeight="1">
      <c r="A41" s="190" t="s">
        <v>27</v>
      </c>
      <c r="B41" s="191"/>
      <c r="C41" s="163">
        <f>ROUNDUP(E41/$I$16,0)</f>
        <v>39</v>
      </c>
      <c r="D41" s="163"/>
      <c r="E41" s="194">
        <v>110000</v>
      </c>
      <c r="F41" s="195"/>
    </row>
    <row r="42" spans="1:17" s="34" customFormat="1" ht="14.25" customHeight="1" thickBot="1">
      <c r="A42" s="192" t="s">
        <v>28</v>
      </c>
      <c r="B42" s="193"/>
      <c r="C42" s="164">
        <f>ROUNDUP(E42/$I$16,0)</f>
        <v>177</v>
      </c>
      <c r="D42" s="164"/>
      <c r="E42" s="196">
        <v>500000</v>
      </c>
      <c r="F42" s="197"/>
    </row>
    <row r="44" spans="1:17" ht="13.5" thickBot="1"/>
    <row r="45" spans="1:17" ht="27" customHeight="1" thickBot="1">
      <c r="A45" s="182" t="s">
        <v>38</v>
      </c>
      <c r="B45" s="183"/>
      <c r="C45" s="183"/>
      <c r="D45" s="183"/>
      <c r="E45" s="183"/>
      <c r="F45" s="184"/>
    </row>
    <row r="46" spans="1:17" ht="27" customHeight="1">
      <c r="A46" s="158" t="s">
        <v>45</v>
      </c>
      <c r="B46" s="159"/>
      <c r="C46" s="159" t="s">
        <v>97</v>
      </c>
      <c r="D46" s="159"/>
      <c r="E46" s="159" t="s">
        <v>44</v>
      </c>
      <c r="F46" s="162"/>
    </row>
    <row r="47" spans="1:17" ht="14.25" customHeight="1">
      <c r="A47" s="155" t="s">
        <v>39</v>
      </c>
      <c r="B47" s="156"/>
      <c r="C47" s="167">
        <v>8.25</v>
      </c>
      <c r="D47" s="167"/>
      <c r="E47" s="160">
        <f>C47</f>
        <v>8.25</v>
      </c>
      <c r="F47" s="161"/>
      <c r="G47" s="20"/>
    </row>
    <row r="48" spans="1:17" ht="14.25" customHeight="1">
      <c r="A48" s="155" t="s">
        <v>43</v>
      </c>
      <c r="B48" s="156"/>
      <c r="C48" s="167">
        <v>2.25</v>
      </c>
      <c r="D48" s="167"/>
      <c r="E48" s="160">
        <f>C48</f>
        <v>2.25</v>
      </c>
      <c r="F48" s="161"/>
      <c r="G48" s="20"/>
    </row>
    <row r="49" spans="1:7" ht="14.25" customHeight="1">
      <c r="A49" s="155" t="s">
        <v>40</v>
      </c>
      <c r="B49" s="156"/>
      <c r="C49" s="167">
        <v>1.25</v>
      </c>
      <c r="D49" s="167"/>
      <c r="E49" s="160">
        <f>C49/4</f>
        <v>0.3125</v>
      </c>
      <c r="F49" s="161"/>
    </row>
    <row r="50" spans="1:7" ht="14.25" customHeight="1" thickBot="1">
      <c r="A50" s="149" t="s">
        <v>42</v>
      </c>
      <c r="B50" s="150"/>
      <c r="C50" s="168"/>
      <c r="D50" s="168"/>
      <c r="E50" s="165">
        <f>SUM(E47:E49)</f>
        <v>10.8125</v>
      </c>
      <c r="F50" s="166"/>
    </row>
    <row r="51" spans="1:7" ht="13.5" thickBot="1"/>
    <row r="52" spans="1:7" ht="27" customHeight="1" thickBot="1">
      <c r="A52" s="182" t="s">
        <v>66</v>
      </c>
      <c r="B52" s="183"/>
      <c r="C52" s="183"/>
      <c r="D52" s="183"/>
      <c r="E52" s="183"/>
      <c r="F52" s="184"/>
    </row>
    <row r="53" spans="1:7" ht="27" customHeight="1">
      <c r="A53" s="153" t="s">
        <v>48</v>
      </c>
      <c r="B53" s="154"/>
      <c r="C53" s="157" t="s">
        <v>60</v>
      </c>
      <c r="D53" s="157"/>
      <c r="E53" s="151" t="s">
        <v>61</v>
      </c>
      <c r="F53" s="152"/>
    </row>
    <row r="54" spans="1:7" ht="14.25" customHeight="1">
      <c r="A54" s="155" t="s">
        <v>47</v>
      </c>
      <c r="B54" s="156"/>
      <c r="C54" s="178">
        <v>50</v>
      </c>
      <c r="D54" s="179"/>
      <c r="E54" s="54" t="s">
        <v>52</v>
      </c>
      <c r="F54" s="55"/>
    </row>
    <row r="55" spans="1:7" ht="14.25" customHeight="1">
      <c r="A55" s="155" t="s">
        <v>51</v>
      </c>
      <c r="B55" s="156"/>
      <c r="C55" s="177">
        <v>35</v>
      </c>
      <c r="D55" s="177"/>
      <c r="E55" s="54" t="s">
        <v>49</v>
      </c>
      <c r="F55" s="55"/>
    </row>
    <row r="56" spans="1:7" ht="14.25" customHeight="1">
      <c r="A56" s="155" t="s">
        <v>50</v>
      </c>
      <c r="B56" s="156"/>
      <c r="C56" s="177">
        <v>6</v>
      </c>
      <c r="D56" s="177"/>
      <c r="E56" s="54" t="s">
        <v>53</v>
      </c>
      <c r="F56" s="55"/>
    </row>
    <row r="57" spans="1:7" ht="14.25" customHeight="1">
      <c r="A57" s="155"/>
      <c r="B57" s="156"/>
      <c r="C57" s="176">
        <f>C56*C55*C54*0.9</f>
        <v>9450</v>
      </c>
      <c r="D57" s="176"/>
      <c r="E57" s="56" t="s">
        <v>96</v>
      </c>
      <c r="F57" s="57"/>
    </row>
    <row r="58" spans="1:7" ht="14.25" customHeight="1" thickBot="1">
      <c r="A58" s="149" t="s">
        <v>67</v>
      </c>
      <c r="B58" s="150"/>
      <c r="C58" s="175">
        <v>0.2</v>
      </c>
      <c r="D58" s="175"/>
      <c r="E58" s="58" t="s">
        <v>95</v>
      </c>
      <c r="F58" s="59"/>
      <c r="G58" s="20"/>
    </row>
    <row r="59" spans="1:7">
      <c r="E59" s="27"/>
      <c r="F59" s="27"/>
      <c r="G59" s="20"/>
    </row>
    <row r="60" spans="1:7" ht="14.25">
      <c r="A60" s="1" t="s">
        <v>98</v>
      </c>
      <c r="E60" s="27"/>
      <c r="F60" s="27"/>
      <c r="G60" s="20"/>
    </row>
    <row r="61" spans="1:7" ht="14.25">
      <c r="A61" s="1" t="s">
        <v>93</v>
      </c>
    </row>
    <row r="62" spans="1:7" ht="14.25">
      <c r="A62" s="1" t="s">
        <v>94</v>
      </c>
    </row>
    <row r="63" spans="1:7" ht="14.25">
      <c r="A63" s="1" t="s">
        <v>110</v>
      </c>
    </row>
  </sheetData>
  <sheetProtection selectLockedCells="1"/>
  <mergeCells count="67">
    <mergeCell ref="A35:F36"/>
    <mergeCell ref="A52:F52"/>
    <mergeCell ref="A45:F45"/>
    <mergeCell ref="A38:F38"/>
    <mergeCell ref="A39:B39"/>
    <mergeCell ref="A40:B40"/>
    <mergeCell ref="A41:B41"/>
    <mergeCell ref="A42:B42"/>
    <mergeCell ref="C39:D39"/>
    <mergeCell ref="C40:D40"/>
    <mergeCell ref="E39:F39"/>
    <mergeCell ref="E40:F40"/>
    <mergeCell ref="E41:F41"/>
    <mergeCell ref="E42:F42"/>
    <mergeCell ref="E47:F47"/>
    <mergeCell ref="A50:B50"/>
    <mergeCell ref="C58:D58"/>
    <mergeCell ref="C57:D57"/>
    <mergeCell ref="C56:D56"/>
    <mergeCell ref="C55:D55"/>
    <mergeCell ref="C54:D54"/>
    <mergeCell ref="B17:C17"/>
    <mergeCell ref="A6:F6"/>
    <mergeCell ref="A4:F4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E48:F48"/>
    <mergeCell ref="E46:F46"/>
    <mergeCell ref="C41:D41"/>
    <mergeCell ref="C42:D42"/>
    <mergeCell ref="E50:F50"/>
    <mergeCell ref="E49:F49"/>
    <mergeCell ref="C49:D49"/>
    <mergeCell ref="C50:D50"/>
    <mergeCell ref="C46:D46"/>
    <mergeCell ref="C47:D47"/>
    <mergeCell ref="C48:D48"/>
    <mergeCell ref="A21:L21"/>
    <mergeCell ref="A3:G3"/>
    <mergeCell ref="A2:G2"/>
    <mergeCell ref="A1:G1"/>
    <mergeCell ref="A58:B58"/>
    <mergeCell ref="E53:F53"/>
    <mergeCell ref="A53:B53"/>
    <mergeCell ref="A54:B54"/>
    <mergeCell ref="A55:B55"/>
    <mergeCell ref="A56:B56"/>
    <mergeCell ref="A57:B57"/>
    <mergeCell ref="C53:D53"/>
    <mergeCell ref="A46:B46"/>
    <mergeCell ref="A47:B47"/>
    <mergeCell ref="A48:B48"/>
    <mergeCell ref="A49:B49"/>
    <mergeCell ref="Q27:U27"/>
    <mergeCell ref="Q28:T28"/>
    <mergeCell ref="Q29:T29"/>
    <mergeCell ref="Q22:R22"/>
    <mergeCell ref="Q24:R24"/>
    <mergeCell ref="Q25:R25"/>
  </mergeCells>
  <pageMargins left="0.7" right="0.7" top="0.75" bottom="0.75" header="0.3" footer="0.3"/>
  <pageSetup scale="90" fitToHeight="0" orientation="portrait" r:id="rId1"/>
  <rowBreaks count="1" manualBreakCount="1">
    <brk id="36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65"/>
  <sheetViews>
    <sheetView zoomScaleNormal="100" workbookViewId="0">
      <pane ySplit="3" topLeftCell="A52" activePane="bottomLeft" state="frozen"/>
      <selection pane="bottomLeft" activeCell="C42" sqref="C42"/>
    </sheetView>
  </sheetViews>
  <sheetFormatPr defaultRowHeight="12.75"/>
  <cols>
    <col min="1" max="1" width="33.28515625" style="1" bestFit="1" customWidth="1"/>
    <col min="2" max="2" width="22.7109375" style="1" customWidth="1"/>
    <col min="3" max="4" width="12.28515625" style="1" customWidth="1"/>
    <col min="5" max="5" width="12.7109375" style="1" customWidth="1"/>
    <col min="6" max="8" width="9.140625" style="1"/>
    <col min="9" max="9" width="20.5703125" style="1" hidden="1" customWidth="1"/>
    <col min="10" max="10" width="10.5703125" style="1" hidden="1" customWidth="1"/>
    <col min="11" max="11" width="0" style="1" hidden="1" customWidth="1"/>
    <col min="12" max="12" width="30.42578125" style="69" bestFit="1" customWidth="1"/>
    <col min="13" max="15" width="9.140625" style="69"/>
    <col min="16" max="16384" width="9.140625" style="1"/>
  </cols>
  <sheetData>
    <row r="1" spans="1:15" ht="23.25">
      <c r="A1" s="146" t="s">
        <v>124</v>
      </c>
      <c r="B1" s="147"/>
      <c r="C1" s="147"/>
      <c r="D1" s="147"/>
      <c r="E1" s="148"/>
      <c r="F1" s="65"/>
    </row>
    <row r="2" spans="1:15" ht="18">
      <c r="A2" s="143" t="s">
        <v>99</v>
      </c>
      <c r="B2" s="144"/>
      <c r="C2" s="144"/>
      <c r="D2" s="144"/>
      <c r="E2" s="145"/>
      <c r="F2" s="64"/>
    </row>
    <row r="3" spans="1:15" ht="15.75" customHeight="1" thickBot="1">
      <c r="A3" s="140" t="s">
        <v>100</v>
      </c>
      <c r="B3" s="141"/>
      <c r="C3" s="141"/>
      <c r="D3" s="141"/>
      <c r="E3" s="142"/>
      <c r="F3" s="66"/>
    </row>
    <row r="4" spans="1:15" ht="14.25" customHeight="1" thickBot="1">
      <c r="A4" s="19"/>
      <c r="B4" s="19"/>
      <c r="C4" s="19"/>
      <c r="D4" s="19"/>
      <c r="E4" s="19"/>
      <c r="F4" s="66"/>
      <c r="M4" s="69" t="s">
        <v>17</v>
      </c>
      <c r="N4" s="69" t="s">
        <v>18</v>
      </c>
      <c r="O4" s="69" t="s">
        <v>19</v>
      </c>
    </row>
    <row r="5" spans="1:15" ht="27" customHeight="1" thickBot="1">
      <c r="A5" s="205" t="s">
        <v>58</v>
      </c>
      <c r="B5" s="206"/>
      <c r="C5" s="206"/>
      <c r="D5" s="206"/>
      <c r="E5" s="207"/>
      <c r="L5" s="69" t="s">
        <v>103</v>
      </c>
      <c r="M5" s="69">
        <f>C7</f>
        <v>8</v>
      </c>
      <c r="N5" s="69">
        <f>C8</f>
        <v>39</v>
      </c>
      <c r="O5" s="69">
        <f>C9</f>
        <v>177</v>
      </c>
    </row>
    <row r="6" spans="1:15" ht="27" customHeight="1">
      <c r="A6" s="28" t="s">
        <v>29</v>
      </c>
      <c r="B6" s="29" t="s">
        <v>41</v>
      </c>
      <c r="C6" s="29" t="s">
        <v>54</v>
      </c>
      <c r="D6" s="29" t="s">
        <v>55</v>
      </c>
      <c r="E6" s="30" t="s">
        <v>56</v>
      </c>
      <c r="L6" s="69" t="s">
        <v>71</v>
      </c>
      <c r="M6" s="69">
        <f>D7</f>
        <v>3</v>
      </c>
      <c r="N6" s="69">
        <f>D8</f>
        <v>12</v>
      </c>
      <c r="O6" s="69">
        <v>53</v>
      </c>
    </row>
    <row r="7" spans="1:15" ht="14.25" customHeight="1">
      <c r="A7" s="78" t="s">
        <v>26</v>
      </c>
      <c r="B7" s="79">
        <f>Inputs!E40</f>
        <v>20000</v>
      </c>
      <c r="C7" s="80">
        <f>ROUNDUP(Inputs!E40/Inputs!$I$16,0)</f>
        <v>8</v>
      </c>
      <c r="D7" s="80">
        <f>ROUNDUP(B7/Inputs!$C$57,0)</f>
        <v>3</v>
      </c>
      <c r="E7" s="81">
        <f>ROUNDUP(B7/(Inputs!$C$57+Inputs!$I$16),0)</f>
        <v>2</v>
      </c>
      <c r="L7" s="69" t="s">
        <v>104</v>
      </c>
      <c r="M7" s="69">
        <f>E7</f>
        <v>2</v>
      </c>
      <c r="N7" s="69">
        <f>E8</f>
        <v>9</v>
      </c>
      <c r="O7" s="69">
        <f>E9</f>
        <v>41</v>
      </c>
    </row>
    <row r="8" spans="1:15" ht="14.25" customHeight="1">
      <c r="A8" s="78" t="s">
        <v>27</v>
      </c>
      <c r="B8" s="79">
        <f>Inputs!E41</f>
        <v>110000</v>
      </c>
      <c r="C8" s="80">
        <f>ROUNDUP(Inputs!E41/Inputs!$I$16,0)</f>
        <v>39</v>
      </c>
      <c r="D8" s="80">
        <f>ROUNDUP(B8/Inputs!$C$57,0)</f>
        <v>12</v>
      </c>
      <c r="E8" s="81">
        <f>ROUNDUP(B8/(Inputs!$C$57+Inputs!$I$16),0)</f>
        <v>9</v>
      </c>
    </row>
    <row r="9" spans="1:15" ht="14.25" customHeight="1" thickBot="1">
      <c r="A9" s="82" t="s">
        <v>28</v>
      </c>
      <c r="B9" s="83">
        <f>Inputs!E42</f>
        <v>500000</v>
      </c>
      <c r="C9" s="84">
        <f>ROUNDUP(Inputs!E42/Inputs!$I$16,0)</f>
        <v>177</v>
      </c>
      <c r="D9" s="84">
        <f>ROUNDUP(B9/Inputs!$C$57,0)</f>
        <v>53</v>
      </c>
      <c r="E9" s="85">
        <f>ROUNDUP(B9/(Inputs!$C$57+Inputs!$I$16),0)</f>
        <v>41</v>
      </c>
    </row>
    <row r="10" spans="1:15" ht="14.25" customHeight="1">
      <c r="A10" s="67"/>
      <c r="B10" s="68"/>
      <c r="C10" s="67"/>
      <c r="D10" s="67"/>
      <c r="E10" s="67"/>
    </row>
    <row r="11" spans="1:15" ht="14.25" customHeight="1">
      <c r="A11" s="67"/>
      <c r="B11" s="68"/>
      <c r="C11" s="67"/>
      <c r="D11" s="67"/>
      <c r="E11" s="67"/>
    </row>
    <row r="12" spans="1:15" ht="14.25" customHeight="1">
      <c r="A12" s="67"/>
      <c r="B12" s="68"/>
      <c r="C12" s="67"/>
      <c r="D12" s="67"/>
      <c r="E12" s="67"/>
    </row>
    <row r="13" spans="1:15" ht="14.25" customHeight="1">
      <c r="A13" s="67"/>
      <c r="B13" s="68"/>
      <c r="C13" s="67"/>
      <c r="D13" s="67"/>
      <c r="E13" s="67"/>
    </row>
    <row r="14" spans="1:15" ht="14.25" customHeight="1">
      <c r="A14" s="67"/>
      <c r="B14" s="68"/>
      <c r="C14" s="67"/>
      <c r="D14" s="67"/>
      <c r="E14" s="67"/>
    </row>
    <row r="15" spans="1:15" ht="14.25" customHeight="1">
      <c r="A15" s="67"/>
      <c r="B15" s="68"/>
      <c r="C15" s="67"/>
      <c r="D15" s="67"/>
      <c r="E15" s="67"/>
    </row>
    <row r="16" spans="1:15" ht="14.25" customHeight="1">
      <c r="A16" s="67"/>
      <c r="B16" s="68"/>
      <c r="C16" s="67"/>
      <c r="D16" s="67"/>
      <c r="E16" s="67"/>
    </row>
    <row r="17" spans="1:5" ht="14.25" customHeight="1">
      <c r="A17" s="67"/>
      <c r="B17" s="68"/>
      <c r="C17" s="67"/>
      <c r="D17" s="67"/>
      <c r="E17" s="67"/>
    </row>
    <row r="18" spans="1:5" ht="14.25" customHeight="1">
      <c r="A18" s="67"/>
      <c r="B18" s="68"/>
      <c r="C18" s="67"/>
      <c r="D18" s="67"/>
      <c r="E18" s="67"/>
    </row>
    <row r="19" spans="1:5" ht="14.25" customHeight="1">
      <c r="A19" s="67"/>
      <c r="B19" s="68"/>
      <c r="C19" s="67"/>
      <c r="D19" s="67"/>
      <c r="E19" s="67"/>
    </row>
    <row r="20" spans="1:5" ht="14.25" customHeight="1">
      <c r="A20" s="67"/>
      <c r="B20" s="68"/>
      <c r="C20" s="67"/>
      <c r="D20" s="67"/>
      <c r="E20" s="67"/>
    </row>
    <row r="21" spans="1:5" ht="14.25" customHeight="1">
      <c r="A21" s="67"/>
      <c r="B21" s="68"/>
      <c r="C21" s="67"/>
      <c r="D21" s="67"/>
      <c r="E21" s="67"/>
    </row>
    <row r="22" spans="1:5" ht="14.25" customHeight="1">
      <c r="A22" s="67"/>
      <c r="B22" s="68"/>
      <c r="C22" s="67"/>
      <c r="D22" s="67"/>
      <c r="E22" s="67"/>
    </row>
    <row r="23" spans="1:5" ht="14.25" customHeight="1">
      <c r="A23" s="67"/>
      <c r="B23" s="68"/>
      <c r="C23" s="67"/>
      <c r="D23" s="67"/>
      <c r="E23" s="67"/>
    </row>
    <row r="24" spans="1:5" ht="14.25" customHeight="1">
      <c r="A24" s="67"/>
      <c r="B24" s="68"/>
      <c r="C24" s="67"/>
      <c r="D24" s="67"/>
      <c r="E24" s="67"/>
    </row>
    <row r="25" spans="1:5" ht="14.25" customHeight="1">
      <c r="A25" s="67"/>
      <c r="B25" s="68"/>
      <c r="C25" s="67"/>
      <c r="D25" s="67"/>
      <c r="E25" s="67"/>
    </row>
    <row r="26" spans="1:5" ht="14.25" customHeight="1">
      <c r="A26" s="67"/>
      <c r="B26" s="68"/>
      <c r="C26" s="67"/>
      <c r="D26" s="67"/>
      <c r="E26" s="67"/>
    </row>
    <row r="27" spans="1:5" ht="14.25" customHeight="1">
      <c r="A27" s="67"/>
      <c r="B27" s="68"/>
      <c r="C27" s="67"/>
      <c r="D27" s="67"/>
      <c r="E27" s="67"/>
    </row>
    <row r="28" spans="1:5" ht="14.25" customHeight="1">
      <c r="A28" s="67"/>
      <c r="B28" s="68"/>
      <c r="C28" s="67"/>
      <c r="D28" s="67"/>
      <c r="E28" s="67"/>
    </row>
    <row r="29" spans="1:5" ht="14.25" customHeight="1" thickBot="1">
      <c r="A29" s="67"/>
      <c r="B29" s="68"/>
      <c r="C29" s="67"/>
      <c r="D29" s="67"/>
      <c r="E29" s="67"/>
    </row>
    <row r="30" spans="1:5" ht="27" customHeight="1" thickBot="1">
      <c r="A30" s="208" t="s">
        <v>59</v>
      </c>
      <c r="B30" s="209"/>
      <c r="C30" s="209"/>
      <c r="D30" s="209"/>
      <c r="E30" s="210"/>
    </row>
    <row r="31" spans="1:5" ht="25.5">
      <c r="A31" s="28" t="s">
        <v>20</v>
      </c>
      <c r="B31" s="29" t="s">
        <v>24</v>
      </c>
      <c r="C31" s="29" t="s">
        <v>17</v>
      </c>
      <c r="D31" s="29" t="s">
        <v>18</v>
      </c>
      <c r="E31" s="30" t="s">
        <v>19</v>
      </c>
    </row>
    <row r="32" spans="1:5" ht="14.25" customHeight="1">
      <c r="A32" s="70" t="str">
        <f>Inputs!A8</f>
        <v>Manager of Solid Waste</v>
      </c>
      <c r="B32" s="71" t="str">
        <f>Inputs!B8</f>
        <v>Debris Manager/ Field Ops Manager</v>
      </c>
      <c r="C32" s="60">
        <f>Inputs!D8*Inputs!E8*Inputs!$C$40</f>
        <v>32</v>
      </c>
      <c r="D32" s="60">
        <f>Inputs!D8*Inputs!E8*Inputs!$C$41</f>
        <v>156</v>
      </c>
      <c r="E32" s="61">
        <f>Inputs!D8*Inputs!E8*Inputs!$C$42</f>
        <v>708</v>
      </c>
    </row>
    <row r="33" spans="1:5" ht="14.25" customHeight="1">
      <c r="A33" s="70" t="str">
        <f>Inputs!A9</f>
        <v>Asst. Manager of Solid Waste</v>
      </c>
      <c r="B33" s="71" t="str">
        <f>Inputs!B9</f>
        <v>DMS Manager</v>
      </c>
      <c r="C33" s="60">
        <f>Inputs!D9*Inputs!E9*Inputs!$C$40</f>
        <v>48</v>
      </c>
      <c r="D33" s="60">
        <f>Inputs!D9*Inputs!E9*Inputs!$C$41</f>
        <v>234</v>
      </c>
      <c r="E33" s="61">
        <f>Inputs!D9*Inputs!E9*Inputs!$C$42</f>
        <v>1062</v>
      </c>
    </row>
    <row r="34" spans="1:5" ht="14.25" customHeight="1">
      <c r="A34" s="70" t="str">
        <f>Inputs!A10</f>
        <v>Solid Waste Supervisors</v>
      </c>
      <c r="B34" s="71" t="str">
        <f>Inputs!B10</f>
        <v>Field/DMS Supervisors</v>
      </c>
      <c r="C34" s="60">
        <f>Inputs!D10*Inputs!E10*Inputs!$C$40</f>
        <v>240</v>
      </c>
      <c r="D34" s="60">
        <f>Inputs!D10*Inputs!E10*Inputs!$C$41</f>
        <v>1170</v>
      </c>
      <c r="E34" s="61">
        <f>Inputs!D10*Inputs!E10*Inputs!$C$42</f>
        <v>5310</v>
      </c>
    </row>
    <row r="35" spans="1:5" ht="14.25" customHeight="1">
      <c r="A35" s="70" t="str">
        <f>Inputs!A11</f>
        <v>Rear Loader Operator</v>
      </c>
      <c r="B35" s="71" t="str">
        <f>Inputs!B11</f>
        <v>Rear Loader Operator</v>
      </c>
      <c r="C35" s="60">
        <f>Inputs!D11*Inputs!E11*Inputs!$C$40</f>
        <v>3840</v>
      </c>
      <c r="D35" s="60">
        <f>Inputs!D11*Inputs!E11*Inputs!$C$41</f>
        <v>18720</v>
      </c>
      <c r="E35" s="61">
        <f>Inputs!D11*Inputs!E11*Inputs!$C$42</f>
        <v>84960</v>
      </c>
    </row>
    <row r="36" spans="1:5" ht="14.25" customHeight="1">
      <c r="A36" s="70" t="str">
        <f>Inputs!A12</f>
        <v>Loader Operators</v>
      </c>
      <c r="B36" s="71" t="str">
        <f>Inputs!B12</f>
        <v>Loader Operators</v>
      </c>
      <c r="C36" s="60">
        <f>Inputs!D12*Inputs!E12*Inputs!$C$40</f>
        <v>480</v>
      </c>
      <c r="D36" s="60">
        <f>Inputs!D12*Inputs!E12*Inputs!$C$41</f>
        <v>2340</v>
      </c>
      <c r="E36" s="61">
        <f>Inputs!D12*Inputs!E12*Inputs!$C$42</f>
        <v>10620</v>
      </c>
    </row>
    <row r="37" spans="1:5" ht="14.25" customHeight="1">
      <c r="A37" s="70" t="str">
        <f>Inputs!A13</f>
        <v>Truck Drivers</v>
      </c>
      <c r="B37" s="71" t="str">
        <f>Inputs!B13</f>
        <v>Truck Drivers</v>
      </c>
      <c r="C37" s="60">
        <f>Inputs!D13*Inputs!E13*Inputs!$C$40</f>
        <v>800</v>
      </c>
      <c r="D37" s="60">
        <f>Inputs!D13*Inputs!E13*Inputs!$C$41</f>
        <v>3900</v>
      </c>
      <c r="E37" s="61">
        <f>Inputs!D13*Inputs!E13*Inputs!$C$42</f>
        <v>17700</v>
      </c>
    </row>
    <row r="38" spans="1:5" ht="14.25" customHeight="1">
      <c r="A38" s="70" t="str">
        <f>Inputs!A14</f>
        <v>Clerical/Administrative</v>
      </c>
      <c r="B38" s="71" t="str">
        <f>Inputs!B14</f>
        <v>Clerical/Administrative</v>
      </c>
      <c r="C38" s="60">
        <f>Inputs!D14*Inputs!E14*Inputs!$C$40</f>
        <v>160</v>
      </c>
      <c r="D38" s="60">
        <f>Inputs!D14*Inputs!E14*Inputs!$C$41</f>
        <v>780</v>
      </c>
      <c r="E38" s="61">
        <f>Inputs!D14*Inputs!E14*Inputs!$C$42</f>
        <v>3540</v>
      </c>
    </row>
    <row r="39" spans="1:5" ht="14.25" customHeight="1">
      <c r="A39" s="70" t="str">
        <f>Inputs!A15</f>
        <v>ADDITIONAL STAFF 1</v>
      </c>
      <c r="B39" s="71" t="str">
        <f>Inputs!B15</f>
        <v>POSITION 1</v>
      </c>
      <c r="C39" s="60">
        <f>Inputs!D15*Inputs!E15*Inputs!$C$40</f>
        <v>0</v>
      </c>
      <c r="D39" s="60">
        <f>Inputs!D15*Inputs!E15*Inputs!$C$41</f>
        <v>0</v>
      </c>
      <c r="E39" s="61">
        <f>Inputs!D15*Inputs!E15*Inputs!$C$42</f>
        <v>0</v>
      </c>
    </row>
    <row r="40" spans="1:5" ht="14.25" customHeight="1">
      <c r="A40" s="70" t="str">
        <f>Inputs!A16</f>
        <v>ADDITIONAL STAFF 2</v>
      </c>
      <c r="B40" s="71" t="str">
        <f>Inputs!B16</f>
        <v>POSITION 2</v>
      </c>
      <c r="C40" s="60">
        <f>Inputs!D16*Inputs!E16*Inputs!$C$40</f>
        <v>0</v>
      </c>
      <c r="D40" s="60">
        <f>Inputs!D16*Inputs!E16*Inputs!$C$41</f>
        <v>0</v>
      </c>
      <c r="E40" s="61">
        <f>Inputs!D16*Inputs!E16*Inputs!$C$42</f>
        <v>0</v>
      </c>
    </row>
    <row r="41" spans="1:5" ht="14.25" customHeight="1" thickBot="1">
      <c r="A41" s="72" t="str">
        <f>Inputs!A17</f>
        <v>ADDITIONAL STAFF 3</v>
      </c>
      <c r="B41" s="73" t="str">
        <f>Inputs!B17</f>
        <v>POSITION 3</v>
      </c>
      <c r="C41" s="62">
        <f>Inputs!D17*Inputs!E17*Inputs!$C$40</f>
        <v>0</v>
      </c>
      <c r="D41" s="62">
        <f>Inputs!D17*Inputs!E17*Inputs!$C$41</f>
        <v>0</v>
      </c>
      <c r="E41" s="63">
        <f>Inputs!D17*Inputs!E17*Inputs!$C$42</f>
        <v>0</v>
      </c>
    </row>
    <row r="42" spans="1:5" ht="14.25" customHeight="1" thickBot="1">
      <c r="A42" s="74" t="s">
        <v>57</v>
      </c>
      <c r="B42" s="75"/>
      <c r="C42" s="76">
        <f>SUM(C32:C41)</f>
        <v>5600</v>
      </c>
      <c r="D42" s="76">
        <f t="shared" ref="D42:E42" si="0">SUM(D32:D41)</f>
        <v>27300</v>
      </c>
      <c r="E42" s="77">
        <f t="shared" si="0"/>
        <v>123900</v>
      </c>
    </row>
    <row r="43" spans="1:5" ht="14.25" customHeight="1" thickBot="1"/>
    <row r="44" spans="1:5" ht="27" customHeight="1" thickBot="1">
      <c r="A44" s="211" t="s">
        <v>72</v>
      </c>
      <c r="B44" s="212"/>
      <c r="C44" s="212"/>
      <c r="D44" s="212"/>
      <c r="E44" s="213"/>
    </row>
    <row r="45" spans="1:5" ht="27" customHeight="1">
      <c r="A45" s="32" t="s">
        <v>10</v>
      </c>
      <c r="B45" s="29" t="s">
        <v>101</v>
      </c>
      <c r="C45" s="29" t="s">
        <v>17</v>
      </c>
      <c r="D45" s="29" t="s">
        <v>18</v>
      </c>
      <c r="E45" s="30" t="s">
        <v>19</v>
      </c>
    </row>
    <row r="46" spans="1:5" ht="14.25" customHeight="1">
      <c r="A46" s="78" t="str">
        <f>Inputs!A23</f>
        <v>Open Top Brush Truck</v>
      </c>
      <c r="B46" s="86">
        <f>Inputs!B23</f>
        <v>25</v>
      </c>
      <c r="C46" s="79">
        <f>Inputs!C23*Inputs!E23*Inputs!$C$40</f>
        <v>160</v>
      </c>
      <c r="D46" s="79">
        <f>Inputs!C23*Inputs!E23*Inputs!$C$41</f>
        <v>780</v>
      </c>
      <c r="E46" s="87">
        <f>Inputs!C23*Inputs!E23*Inputs!$C$42</f>
        <v>3540</v>
      </c>
    </row>
    <row r="47" spans="1:5" ht="14.25" customHeight="1">
      <c r="A47" s="78" t="str">
        <f>Inputs!A24</f>
        <v>Roll-off Trailer</v>
      </c>
      <c r="B47" s="86">
        <f>Inputs!B24</f>
        <v>30</v>
      </c>
      <c r="C47" s="79">
        <f>Inputs!C24*Inputs!E24*Inputs!$C$40</f>
        <v>80</v>
      </c>
      <c r="D47" s="79">
        <f>Inputs!C24*Inputs!E24*Inputs!$C$41</f>
        <v>390</v>
      </c>
      <c r="E47" s="87">
        <f>Inputs!C24*Inputs!E24*Inputs!$C$42</f>
        <v>1770</v>
      </c>
    </row>
    <row r="48" spans="1:5" ht="14.25" customHeight="1">
      <c r="A48" s="78" t="str">
        <f>Inputs!A25</f>
        <v>Dump Trucks</v>
      </c>
      <c r="B48" s="86">
        <f>Inputs!B25</f>
        <v>12</v>
      </c>
      <c r="C48" s="79">
        <f>Inputs!C25*Inputs!E25*Inputs!$C$40</f>
        <v>560</v>
      </c>
      <c r="D48" s="79">
        <f>Inputs!C25*Inputs!E25*Inputs!$C$41</f>
        <v>2730</v>
      </c>
      <c r="E48" s="87">
        <f>Inputs!C25*Inputs!E25*Inputs!$C$42</f>
        <v>12390</v>
      </c>
    </row>
    <row r="49" spans="1:13" ht="14.25" customHeight="1">
      <c r="A49" s="78" t="str">
        <f>Inputs!A26</f>
        <v>Rear Loaders</v>
      </c>
      <c r="B49" s="86">
        <f>Inputs!B26</f>
        <v>40</v>
      </c>
      <c r="C49" s="79">
        <f>Inputs!C26*Inputs!E26*Inputs!$C$40</f>
        <v>1920</v>
      </c>
      <c r="D49" s="79">
        <f>Inputs!C26*Inputs!E26*Inputs!$C$41</f>
        <v>9360</v>
      </c>
      <c r="E49" s="87">
        <f>Inputs!C26*Inputs!E26*Inputs!$C$42</f>
        <v>42480</v>
      </c>
    </row>
    <row r="50" spans="1:13" ht="14.25" customHeight="1">
      <c r="A50" s="78" t="str">
        <f>Inputs!A27</f>
        <v>Rotor Booms</v>
      </c>
      <c r="B50" s="86">
        <f>Inputs!B27</f>
        <v>30</v>
      </c>
      <c r="C50" s="79">
        <f>Inputs!C27*Inputs!E27*Inputs!$C$40</f>
        <v>320</v>
      </c>
      <c r="D50" s="79">
        <f>Inputs!C27*Inputs!E27*Inputs!$C$41</f>
        <v>1560</v>
      </c>
      <c r="E50" s="87">
        <f>Inputs!C27*Inputs!E27*Inputs!$C$42</f>
        <v>7080</v>
      </c>
    </row>
    <row r="51" spans="1:13" ht="14.25" customHeight="1">
      <c r="A51" s="78" t="str">
        <f>Inputs!A28</f>
        <v>Rubber-Tire Loaders</v>
      </c>
      <c r="B51" s="86" t="str">
        <f>Inputs!B28</f>
        <v>N/A</v>
      </c>
      <c r="C51" s="79">
        <f>Inputs!C28*Inputs!E28*Inputs!$C$40</f>
        <v>320</v>
      </c>
      <c r="D51" s="79">
        <f>Inputs!C28*Inputs!E28*Inputs!$C$41</f>
        <v>1560</v>
      </c>
      <c r="E51" s="87">
        <f>Inputs!C28*Inputs!E28*Inputs!$C$42</f>
        <v>7080</v>
      </c>
    </row>
    <row r="52" spans="1:13" ht="14.25" customHeight="1">
      <c r="A52" s="78" t="str">
        <f>Inputs!A29</f>
        <v>Gradall w/ Brush Attachment</v>
      </c>
      <c r="B52" s="86" t="str">
        <f>Inputs!B29</f>
        <v>N/A</v>
      </c>
      <c r="C52" s="79">
        <f>Inputs!C29*Inputs!E29*Inputs!$C$40</f>
        <v>80</v>
      </c>
      <c r="D52" s="79">
        <f>Inputs!C29*Inputs!E29*Inputs!$C$41</f>
        <v>390</v>
      </c>
      <c r="E52" s="87">
        <f>Inputs!C29*Inputs!E29*Inputs!$C$42</f>
        <v>1770</v>
      </c>
    </row>
    <row r="53" spans="1:13" ht="14.25" customHeight="1">
      <c r="A53" s="78" t="str">
        <f>Inputs!A30</f>
        <v>Backhoe w/ Brush Attachment</v>
      </c>
      <c r="B53" s="86" t="str">
        <f>Inputs!B30</f>
        <v>N/A</v>
      </c>
      <c r="C53" s="79">
        <f>Inputs!C30*Inputs!E30*Inputs!$C$40</f>
        <v>80</v>
      </c>
      <c r="D53" s="79">
        <f>Inputs!C30*Inputs!E30*Inputs!$C$41</f>
        <v>390</v>
      </c>
      <c r="E53" s="87">
        <f>Inputs!C30*Inputs!E30*Inputs!$C$42</f>
        <v>1770</v>
      </c>
    </row>
    <row r="54" spans="1:13" ht="14.25" customHeight="1">
      <c r="A54" s="78" t="str">
        <f>Inputs!A31</f>
        <v>1/2 Ton Pickup</v>
      </c>
      <c r="B54" s="86" t="str">
        <f>Inputs!B31</f>
        <v>N/A</v>
      </c>
      <c r="C54" s="79">
        <f>Inputs!C31*Inputs!E31*Inputs!$C$40</f>
        <v>240</v>
      </c>
      <c r="D54" s="79">
        <f>Inputs!C31*Inputs!E31*Inputs!$C$41</f>
        <v>1170</v>
      </c>
      <c r="E54" s="87">
        <f>Inputs!C31*Inputs!E31*Inputs!$C$42</f>
        <v>5310</v>
      </c>
    </row>
    <row r="55" spans="1:13" ht="14.25" customHeight="1">
      <c r="A55" s="78" t="str">
        <f>Inputs!A32</f>
        <v>ADDITIONAL EQUIPMENT I</v>
      </c>
      <c r="B55" s="86">
        <f>Inputs!B32</f>
        <v>0</v>
      </c>
      <c r="C55" s="79">
        <f>Inputs!C32*Inputs!E32*Inputs!$C$40</f>
        <v>0</v>
      </c>
      <c r="D55" s="79">
        <f>Inputs!C32*Inputs!E32*Inputs!$C$41</f>
        <v>0</v>
      </c>
      <c r="E55" s="87">
        <f>Inputs!C32*Inputs!E32*Inputs!$C$42</f>
        <v>0</v>
      </c>
    </row>
    <row r="56" spans="1:13" ht="14.25" customHeight="1">
      <c r="A56" s="78" t="str">
        <f>Inputs!A33</f>
        <v>ADDITIONAL EQUIPMENT 2</v>
      </c>
      <c r="B56" s="86">
        <f>Inputs!B33</f>
        <v>0</v>
      </c>
      <c r="C56" s="79">
        <f>Inputs!C33*Inputs!E33*Inputs!$C$40</f>
        <v>0</v>
      </c>
      <c r="D56" s="79">
        <f>Inputs!C33*Inputs!E33*Inputs!$C$41</f>
        <v>0</v>
      </c>
      <c r="E56" s="87">
        <f>Inputs!C33*Inputs!E33*Inputs!$C$42</f>
        <v>0</v>
      </c>
    </row>
    <row r="57" spans="1:13" ht="14.25" customHeight="1" thickBot="1">
      <c r="A57" s="88" t="str">
        <f>Inputs!A34</f>
        <v>ADDITIONAL EQUIPMENT 3</v>
      </c>
      <c r="B57" s="89">
        <f>Inputs!B34</f>
        <v>0</v>
      </c>
      <c r="C57" s="90">
        <f>Inputs!C34*Inputs!E34*Inputs!$C$40</f>
        <v>0</v>
      </c>
      <c r="D57" s="90">
        <f>Inputs!C34*Inputs!E34*Inputs!$C$41</f>
        <v>0</v>
      </c>
      <c r="E57" s="91">
        <f>Inputs!C34*Inputs!E34*Inputs!$C$42</f>
        <v>0</v>
      </c>
    </row>
    <row r="58" spans="1:13" ht="14.25" customHeight="1" thickBot="1">
      <c r="A58" s="92" t="s">
        <v>74</v>
      </c>
      <c r="B58" s="93"/>
      <c r="C58" s="94">
        <f>SUM(C46:C57)</f>
        <v>3760</v>
      </c>
      <c r="D58" s="94">
        <f t="shared" ref="D58" si="1">SUM(D46:D57)</f>
        <v>18330</v>
      </c>
      <c r="E58" s="95">
        <f>SUM(E46:E57)</f>
        <v>83190</v>
      </c>
    </row>
    <row r="59" spans="1:13" ht="14.25" customHeight="1" thickBot="1"/>
    <row r="60" spans="1:13" ht="27" customHeight="1" thickBot="1">
      <c r="A60" s="208" t="s">
        <v>80</v>
      </c>
      <c r="B60" s="209"/>
      <c r="C60" s="209"/>
      <c r="D60" s="209"/>
      <c r="E60" s="210"/>
    </row>
    <row r="61" spans="1:13" ht="27" customHeight="1">
      <c r="A61" s="28" t="s">
        <v>29</v>
      </c>
      <c r="B61" s="159" t="s">
        <v>41</v>
      </c>
      <c r="C61" s="159"/>
      <c r="D61" s="157" t="s">
        <v>79</v>
      </c>
      <c r="E61" s="204"/>
    </row>
    <row r="62" spans="1:13" ht="14.25" customHeight="1">
      <c r="A62" s="96" t="s">
        <v>26</v>
      </c>
      <c r="B62" s="198">
        <f>B7</f>
        <v>20000</v>
      </c>
      <c r="C62" s="198"/>
      <c r="D62" s="200">
        <f>ROUNDUP((B62/$J$64)*$J$65,0)</f>
        <v>2</v>
      </c>
      <c r="E62" s="201"/>
      <c r="J62" s="17"/>
      <c r="L62" s="69" t="str">
        <f>A62</f>
        <v>Scenario 1 - Small Event</v>
      </c>
      <c r="M62" s="69">
        <f>D62</f>
        <v>2</v>
      </c>
    </row>
    <row r="63" spans="1:13" ht="14.25" customHeight="1">
      <c r="A63" s="96" t="s">
        <v>27</v>
      </c>
      <c r="B63" s="198">
        <f t="shared" ref="B63:B64" si="2">B8</f>
        <v>110000</v>
      </c>
      <c r="C63" s="198"/>
      <c r="D63" s="200">
        <f t="shared" ref="D63" si="3">ROUNDUP((B63/$J$64)*$J$65,0)</f>
        <v>6</v>
      </c>
      <c r="E63" s="201"/>
      <c r="I63" s="1" t="s">
        <v>78</v>
      </c>
      <c r="J63" s="1">
        <f>20/3</f>
        <v>6.666666666666667</v>
      </c>
      <c r="K63" s="1" t="s">
        <v>75</v>
      </c>
      <c r="L63" s="69" t="str">
        <f t="shared" ref="L63:L64" si="4">A63</f>
        <v>Scenario 2 - Medium Event</v>
      </c>
    </row>
    <row r="64" spans="1:13" ht="14.25" customHeight="1" thickBot="1">
      <c r="A64" s="97" t="s">
        <v>28</v>
      </c>
      <c r="B64" s="199">
        <f t="shared" si="2"/>
        <v>500000</v>
      </c>
      <c r="C64" s="199"/>
      <c r="D64" s="202">
        <f>ROUNDUP((B64/$J$64)*$J$65,0)</f>
        <v>26</v>
      </c>
      <c r="E64" s="203"/>
      <c r="I64" s="1" t="s">
        <v>76</v>
      </c>
      <c r="J64" s="18">
        <f>4840*J63</f>
        <v>32266.666666666668</v>
      </c>
      <c r="L64" s="69" t="str">
        <f t="shared" si="4"/>
        <v>Scenario 3 - Large Event</v>
      </c>
    </row>
    <row r="65" spans="9:10">
      <c r="I65" s="1" t="s">
        <v>77</v>
      </c>
      <c r="J65" s="1">
        <v>1.66</v>
      </c>
    </row>
  </sheetData>
  <sheetProtection selectLockedCells="1"/>
  <mergeCells count="15">
    <mergeCell ref="A1:E1"/>
    <mergeCell ref="A2:E2"/>
    <mergeCell ref="A3:E3"/>
    <mergeCell ref="B63:C63"/>
    <mergeCell ref="B64:C64"/>
    <mergeCell ref="B61:C61"/>
    <mergeCell ref="D62:E62"/>
    <mergeCell ref="D63:E63"/>
    <mergeCell ref="D64:E64"/>
    <mergeCell ref="D61:E61"/>
    <mergeCell ref="A5:E5"/>
    <mergeCell ref="A30:E30"/>
    <mergeCell ref="A44:E44"/>
    <mergeCell ref="A60:E60"/>
    <mergeCell ref="B62:C62"/>
  </mergeCells>
  <pageMargins left="0.7" right="0.7" top="0.75" bottom="0.75" header="0.3" footer="0.3"/>
  <pageSetup scale="95" orientation="portrait" r:id="rId1"/>
  <rowBreaks count="1" manualBreakCount="1"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Normal="100" workbookViewId="0">
      <pane ySplit="3" topLeftCell="A4" activePane="bottomLeft" state="frozen"/>
      <selection pane="bottomLeft" sqref="A1:E1"/>
    </sheetView>
  </sheetViews>
  <sheetFormatPr defaultRowHeight="12.75"/>
  <cols>
    <col min="1" max="1" width="9.140625" style="1"/>
    <col min="2" max="2" width="16.85546875" style="1" customWidth="1"/>
    <col min="3" max="5" width="19.28515625" style="1" customWidth="1"/>
    <col min="6" max="16384" width="9.140625" style="1"/>
  </cols>
  <sheetData>
    <row r="1" spans="1:7" ht="23.25">
      <c r="A1" s="146" t="s">
        <v>124</v>
      </c>
      <c r="B1" s="147"/>
      <c r="C1" s="147"/>
      <c r="D1" s="147"/>
      <c r="E1" s="148"/>
      <c r="F1" s="65"/>
      <c r="G1" s="65"/>
    </row>
    <row r="2" spans="1:7" ht="18">
      <c r="A2" s="143" t="s">
        <v>99</v>
      </c>
      <c r="B2" s="144"/>
      <c r="C2" s="144"/>
      <c r="D2" s="144"/>
      <c r="E2" s="145"/>
      <c r="F2" s="64"/>
      <c r="G2" s="64"/>
    </row>
    <row r="3" spans="1:7" ht="15.75" customHeight="1" thickBot="1">
      <c r="A3" s="140" t="s">
        <v>105</v>
      </c>
      <c r="B3" s="141"/>
      <c r="C3" s="141"/>
      <c r="D3" s="141"/>
      <c r="E3" s="142"/>
      <c r="F3" s="66"/>
      <c r="G3" s="66"/>
    </row>
    <row r="4" spans="1:7" ht="13.5" thickBot="1">
      <c r="F4" s="16"/>
      <c r="G4" s="16"/>
    </row>
    <row r="5" spans="1:7" ht="27" customHeight="1" thickBot="1">
      <c r="A5" s="208" t="s">
        <v>106</v>
      </c>
      <c r="B5" s="209"/>
      <c r="C5" s="209"/>
      <c r="D5" s="209"/>
      <c r="E5" s="210"/>
      <c r="F5" s="111"/>
      <c r="G5" s="111"/>
    </row>
    <row r="6" spans="1:7" ht="27" customHeight="1">
      <c r="A6" s="224"/>
      <c r="B6" s="225"/>
      <c r="C6" s="33" t="s">
        <v>17</v>
      </c>
      <c r="D6" s="33" t="s">
        <v>18</v>
      </c>
      <c r="E6" s="110" t="s">
        <v>19</v>
      </c>
      <c r="F6" s="23"/>
      <c r="G6" s="23"/>
    </row>
    <row r="7" spans="1:7" ht="14.25" customHeight="1">
      <c r="A7" s="218" t="s">
        <v>62</v>
      </c>
      <c r="B7" s="219"/>
      <c r="C7" s="98">
        <f>Inputs!L14</f>
        <v>145440</v>
      </c>
      <c r="D7" s="98">
        <f>Inputs!M14</f>
        <v>709020</v>
      </c>
      <c r="E7" s="99">
        <f>Inputs!N14</f>
        <v>3217860</v>
      </c>
      <c r="F7" s="23"/>
      <c r="G7" s="23"/>
    </row>
    <row r="8" spans="1:7" ht="14.25" customHeight="1">
      <c r="A8" s="218" t="s">
        <v>63</v>
      </c>
      <c r="B8" s="219"/>
      <c r="C8" s="98">
        <f>Inputs!L30</f>
        <v>88880</v>
      </c>
      <c r="D8" s="98">
        <f>Inputs!M30</f>
        <v>433290</v>
      </c>
      <c r="E8" s="99">
        <f>Inputs!N30</f>
        <v>1966470</v>
      </c>
      <c r="F8" s="23"/>
      <c r="G8" s="23"/>
    </row>
    <row r="9" spans="1:7" ht="14.25" customHeight="1" thickBot="1">
      <c r="A9" s="220" t="s">
        <v>42</v>
      </c>
      <c r="B9" s="221"/>
      <c r="C9" s="100">
        <f>C8+C7</f>
        <v>234320</v>
      </c>
      <c r="D9" s="100">
        <f t="shared" ref="D9:E9" si="0">D8+D7</f>
        <v>1142310</v>
      </c>
      <c r="E9" s="101">
        <f t="shared" si="0"/>
        <v>5184330</v>
      </c>
      <c r="F9" s="23"/>
      <c r="G9" s="23"/>
    </row>
    <row r="10" spans="1:7">
      <c r="F10" s="23"/>
      <c r="G10" s="23"/>
    </row>
    <row r="11" spans="1:7" ht="13.5" thickBot="1">
      <c r="F11" s="23"/>
      <c r="G11" s="23"/>
    </row>
    <row r="12" spans="1:7" ht="27" customHeight="1" thickBot="1">
      <c r="A12" s="208" t="s">
        <v>68</v>
      </c>
      <c r="B12" s="209"/>
      <c r="C12" s="209"/>
      <c r="D12" s="209"/>
      <c r="E12" s="210"/>
      <c r="F12" s="111"/>
      <c r="G12" s="111"/>
    </row>
    <row r="13" spans="1:7" ht="27" customHeight="1">
      <c r="A13" s="214"/>
      <c r="B13" s="215"/>
      <c r="C13" s="33" t="s">
        <v>17</v>
      </c>
      <c r="D13" s="33" t="s">
        <v>18</v>
      </c>
      <c r="E13" s="110" t="s">
        <v>19</v>
      </c>
      <c r="F13" s="23"/>
      <c r="G13" s="23"/>
    </row>
    <row r="14" spans="1:7" ht="14.25" customHeight="1">
      <c r="A14" s="190" t="s">
        <v>108</v>
      </c>
      <c r="B14" s="191"/>
      <c r="C14" s="102">
        <f>Inputs!$E$50*Inputs!E40</f>
        <v>216250</v>
      </c>
      <c r="D14" s="102">
        <f>Inputs!$E$50*Inputs!E41</f>
        <v>1189375</v>
      </c>
      <c r="E14" s="103">
        <f>Inputs!$E$50*Inputs!E42</f>
        <v>5406250</v>
      </c>
      <c r="F14" s="23"/>
      <c r="G14" s="23"/>
    </row>
    <row r="15" spans="1:7" ht="14.25" customHeight="1">
      <c r="A15" s="190" t="s">
        <v>69</v>
      </c>
      <c r="B15" s="191"/>
      <c r="C15" s="104">
        <f>(Inputs!$E$50*Inputs!E40)*Inputs!$C$58</f>
        <v>43250</v>
      </c>
      <c r="D15" s="104">
        <f>(Inputs!$E$50*Inputs!E41)*Inputs!$C$58</f>
        <v>237875</v>
      </c>
      <c r="E15" s="105">
        <f>(Inputs!$E$50*Inputs!E42)*Inputs!$C$58</f>
        <v>1081250</v>
      </c>
      <c r="F15" s="23"/>
      <c r="G15" s="23"/>
    </row>
    <row r="16" spans="1:7" ht="14.25" customHeight="1" thickBot="1">
      <c r="A16" s="216" t="s">
        <v>42</v>
      </c>
      <c r="B16" s="217"/>
      <c r="C16" s="100">
        <f>C15+C14</f>
        <v>259500</v>
      </c>
      <c r="D16" s="100">
        <f t="shared" ref="D16" si="1">D15+D14</f>
        <v>1427250</v>
      </c>
      <c r="E16" s="101">
        <f t="shared" ref="E16" si="2">E15+E14</f>
        <v>6487500</v>
      </c>
      <c r="F16" s="23"/>
      <c r="G16" s="23"/>
    </row>
    <row r="17" spans="1:7">
      <c r="F17" s="23"/>
      <c r="G17" s="23"/>
    </row>
    <row r="18" spans="1:7" ht="13.5" thickBot="1">
      <c r="F18" s="23"/>
      <c r="G18" s="23"/>
    </row>
    <row r="19" spans="1:7" ht="27" customHeight="1" thickBot="1">
      <c r="A19" s="208" t="s">
        <v>70</v>
      </c>
      <c r="B19" s="209"/>
      <c r="C19" s="209"/>
      <c r="D19" s="209"/>
      <c r="E19" s="210"/>
      <c r="F19" s="111"/>
      <c r="G19" s="111"/>
    </row>
    <row r="20" spans="1:7" ht="27" customHeight="1">
      <c r="A20" s="222"/>
      <c r="B20" s="223"/>
      <c r="C20" s="33" t="s">
        <v>17</v>
      </c>
      <c r="D20" s="33" t="s">
        <v>18</v>
      </c>
      <c r="E20" s="110" t="s">
        <v>19</v>
      </c>
    </row>
    <row r="21" spans="1:7" ht="14.25" customHeight="1">
      <c r="A21" s="190" t="s">
        <v>64</v>
      </c>
      <c r="B21" s="191"/>
      <c r="C21" s="106">
        <f>C9</f>
        <v>234320</v>
      </c>
      <c r="D21" s="106">
        <f>D9</f>
        <v>1142310</v>
      </c>
      <c r="E21" s="107">
        <f>E9</f>
        <v>5184330</v>
      </c>
    </row>
    <row r="22" spans="1:7" ht="14.25" customHeight="1" thickBot="1">
      <c r="A22" s="192" t="s">
        <v>107</v>
      </c>
      <c r="B22" s="193"/>
      <c r="C22" s="108">
        <f>C15+C14</f>
        <v>259500</v>
      </c>
      <c r="D22" s="108">
        <f>D15+D14</f>
        <v>1427250</v>
      </c>
      <c r="E22" s="109">
        <f t="shared" ref="E22" si="3">E15+E14</f>
        <v>6487500</v>
      </c>
    </row>
  </sheetData>
  <sheetProtection selectLockedCells="1" selectUnlockedCells="1"/>
  <mergeCells count="17">
    <mergeCell ref="A1:E1"/>
    <mergeCell ref="A2:E2"/>
    <mergeCell ref="A3:E3"/>
    <mergeCell ref="A5:E5"/>
    <mergeCell ref="A6:B6"/>
    <mergeCell ref="A7:B7"/>
    <mergeCell ref="A8:B8"/>
    <mergeCell ref="A9:B9"/>
    <mergeCell ref="A20:B20"/>
    <mergeCell ref="A21:B21"/>
    <mergeCell ref="A22:B22"/>
    <mergeCell ref="A19:E19"/>
    <mergeCell ref="A12:E12"/>
    <mergeCell ref="A14:B14"/>
    <mergeCell ref="A13:B13"/>
    <mergeCell ref="A15:B15"/>
    <mergeCell ref="A16:B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Title xmlns="64518aac-0abd-489b-ad9f-92673738a961" xsi:nil="true"/>
    <Doc_x0020_Type xmlns="53162268-96d3-4602-8755-976e28c5bd3e"/>
    <Event_x0020_Date xmlns="64518aac-0abd-489b-ad9f-92673738a961">2013-08-21T08:00:00+00:00</Event_x0020_Date>
    <Purpose1 xmlns="64518aac-0abd-489b-ad9f-92673738a961">2013 Disaster &amp; Debris Documentation</Purpose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vent Materials" ma:contentTypeID="0x01010049A3439DAE688E419EA24A0D3F373DB60061280F8E0C41744C8AC1EB97278A9E63" ma:contentTypeVersion="78" ma:contentTypeDescription="   " ma:contentTypeScope="" ma:versionID="745641bd0b9011113bf842865a474798">
  <xsd:schema xmlns:xsd="http://www.w3.org/2001/XMLSchema" xmlns:p="http://schemas.microsoft.com/office/2006/metadata/properties" xmlns:ns2="64518aac-0abd-489b-ad9f-92673738a961" xmlns:ns3="53162268-96d3-4602-8755-976e28c5bd3e" targetNamespace="http://schemas.microsoft.com/office/2006/metadata/properties" ma:root="true" ma:fieldsID="64e9975d985ecea5316dc81dd436f55a" ns2:_="" ns3:_="">
    <xsd:import namespace="64518aac-0abd-489b-ad9f-92673738a961"/>
    <xsd:import namespace="53162268-96d3-4602-8755-976e28c5bd3e"/>
    <xsd:element name="properties">
      <xsd:complexType>
        <xsd:sequence>
          <xsd:element name="documentManagement">
            <xsd:complexType>
              <xsd:all>
                <xsd:element ref="ns2:Document_x0020_Title" minOccurs="0"/>
                <xsd:element ref="ns2:Event_x0020_Date" minOccurs="0"/>
                <xsd:element ref="ns2:Purpose1" minOccurs="0"/>
                <xsd:element ref="ns3:Doc_x0020_Type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4518aac-0abd-489b-ad9f-92673738a961" elementFormDefault="qualified">
    <xsd:import namespace="http://schemas.microsoft.com/office/2006/documentManagement/types"/>
    <xsd:element name="Document_x0020_Title" ma:index="1" nillable="true" ma:displayName="Document Title" ma:internalName="Document_x0020_Title" ma:readOnly="false">
      <xsd:simpleType>
        <xsd:restriction base="dms:Text">
          <xsd:maxLength value="255"/>
        </xsd:restriction>
      </xsd:simpleType>
    </xsd:element>
    <xsd:element name="Event_x0020_Date" ma:index="2" nillable="true" ma:displayName="Event Date" ma:default="2013-08-21T08:00:00Z" ma:format="DateOnly" ma:internalName="Event_x0020_Date" ma:readOnly="false">
      <xsd:simpleType>
        <xsd:restriction base="dms:DateTime"/>
      </xsd:simpleType>
    </xsd:element>
    <xsd:element name="Purpose1" ma:index="3" nillable="true" ma:displayName="Purpose" ma:default="2013 Disaster &amp; Debris Documentation" ma:internalName="Purpose1" ma:readOnly="fals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3162268-96d3-4602-8755-976e28c5bd3e" elementFormDefault="qualified">
    <xsd:import namespace="http://schemas.microsoft.com/office/2006/documentManagement/types"/>
    <xsd:element name="Doc_x0020_Type" ma:index="4" ma:displayName="Doc Type" ma:format="Dropdown" ma:internalName="Doc_x0020_Type">
      <xsd:simpleType>
        <xsd:union memberTypes="dms:Text">
          <xsd:simpleType>
            <xsd:restriction base="dms:Choice">
              <xsd:enumeration value="Administration"/>
              <xsd:enumeration value="Agenda"/>
              <xsd:enumeration value="Attendance"/>
              <xsd:enumeration value="Evaluation"/>
              <xsd:enumeration value="Event Program"/>
              <xsd:enumeration value="Handouts"/>
              <xsd:enumeration value="Presentations"/>
              <xsd:enumeration value="RSVP"/>
              <xsd:enumeration value="Speaker Information"/>
              <xsd:enumeration value="Sponsorship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9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customXsn xmlns="http://schemas.microsoft.com/office/2006/metadata/customXsn">
  <xsnLocation>http://sharepoint.hgac.net:82/dept/ce/_cts/Document/9f3c12f858182616customXsn.xsn</xsnLocation>
  <cached>True</cached>
  <openByDefault>True</openByDefault>
  <xsnScope>http://sharepoint.hgac.net:82/dept/ce</xsnScope>
</customXsn>
</file>

<file path=customXml/itemProps1.xml><?xml version="1.0" encoding="utf-8"?>
<ds:datastoreItem xmlns:ds="http://schemas.openxmlformats.org/officeDocument/2006/customXml" ds:itemID="{8D82CAAA-B2AA-4446-84F3-C9F8626739FB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64518aac-0abd-489b-ad9f-92673738a961"/>
    <ds:schemaRef ds:uri="53162268-96d3-4602-8755-976e28c5bd3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20BB332-B6AF-4C8D-8FD6-6F4E1048C0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9EAA0B-CB4C-42D3-B725-D99576635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518aac-0abd-489b-ad9f-92673738a961"/>
    <ds:schemaRef ds:uri="53162268-96d3-4602-8755-976e28c5bd3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76F2A57D-23B7-47DE-B287-94C1B3CB4D23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Inputs</vt:lpstr>
      <vt:lpstr>Operational Analysis</vt:lpstr>
      <vt:lpstr>Cost Analysis</vt:lpstr>
      <vt:lpstr>Inputs!Print_Area</vt:lpstr>
      <vt:lpstr>'Operational Analysis'!Print_Area</vt:lpstr>
      <vt:lpstr>Inputs!Print_Titles</vt:lpstr>
      <vt:lpstr>'Operational Analysis'!Print_Titles</vt:lpstr>
    </vt:vector>
  </TitlesOfParts>
  <Company>BDR-SAIC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Buri</dc:creator>
  <cp:lastModifiedBy>livingston</cp:lastModifiedBy>
  <cp:lastPrinted>2011-01-10T18:13:32Z</cp:lastPrinted>
  <dcterms:created xsi:type="dcterms:W3CDTF">2010-12-17T18:32:59Z</dcterms:created>
  <dcterms:modified xsi:type="dcterms:W3CDTF">2013-12-19T22:26:22Z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0x01010049A3439DAE688E419EA24A0D3F373DB60061280F8E0C41744C8AC1EB97278A9E63</vt:lpwstr>
  </property>
</Properties>
</file>