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hgac-my.sharepoint.com/personal/lingala_h-gac_com/Documents/2021 Call/Jan 2023/Project Scoring/Five Investment Categories/Submitted Questionnaires/Scores/Benefits Calculators/"/>
    </mc:Choice>
  </mc:AlternateContent>
  <xr:revisionPtr revIDLastSave="4" documentId="8_{4033188A-0DA4-4D34-A2B1-2435D929110F}" xr6:coauthVersionLast="47" xr6:coauthVersionMax="47" xr10:uidLastSave="{B93AB577-4FAD-4CA0-BB00-EEE32F84613A}"/>
  <bookViews>
    <workbookView xWindow="-108" yWindow="-108" windowWidth="23256" windowHeight="12576" tabRatio="951" xr2:uid="{00000000-000D-0000-FFFF-FFFF00000000}"/>
  </bookViews>
  <sheets>
    <sheet name="Instructions" sheetId="8" r:id="rId1"/>
    <sheet name="ITS Delay Worksheet" sheetId="7" state="hidden" r:id="rId2"/>
    <sheet name="Emissions Reduction Worksheet" sheetId="5" state="hidden" r:id="rId3"/>
    <sheet name="Inputs &amp; Outputs" sheetId="11" r:id="rId4"/>
    <sheet name="Preventable Crash data" sheetId="19" r:id="rId5"/>
    <sheet name="Calculations" sheetId="12" r:id="rId6"/>
    <sheet name="Assumed Values" sheetId="2" r:id="rId7"/>
    <sheet name="Value of Statistical Life" sheetId="9" r:id="rId8"/>
    <sheet name="CRF Lookup Table" sheetId="16" r:id="rId9"/>
    <sheet name="Raw Crash data" sheetId="20" r:id="rId10"/>
    <sheet name="Ped bike commuter analysis data" sheetId="21" r:id="rId11"/>
    <sheet name="Growth Rates" sheetId="22" r:id="rId12"/>
  </sheets>
  <externalReferences>
    <externalReference r:id="rId13"/>
  </externalReferences>
  <definedNames>
    <definedName name="_2021_2045_Demand_Growth">Calculations!$B$14</definedName>
    <definedName name="_2021_2045_V_C_Growth">Calculations!$B$20</definedName>
    <definedName name="_2021_Peak_Period_Capacity">'Inputs &amp; Outputs'!#REF!</definedName>
    <definedName name="_2021_V_C_Ratio">Calculations!$B$15</definedName>
    <definedName name="_2030_2030_Demand_Growth">Calculations!$B$12</definedName>
    <definedName name="_2030_2045_Demand_Growth">Calculations!$B$13</definedName>
    <definedName name="_2030_2045_V_C_Growth">Calculations!$B$19</definedName>
    <definedName name="_2030_Peak_Period_Capacity">'Inputs &amp; Outputs'!#REF!</definedName>
    <definedName name="_2030_Peak_Period_Volume">'Inputs &amp; Outputs'!#REF!</definedName>
    <definedName name="_2030_V_C_Ratio">Calculations!$B$16</definedName>
    <definedName name="_2045_Peak_Period_Capacity">'Inputs &amp; Outputs'!#REF!</definedName>
    <definedName name="_2045_Peak_Period_Volume">'Inputs &amp; Outputs'!#REF!</definedName>
    <definedName name="_2045_V_C_Ratio">Calculations!$B$17</definedName>
    <definedName name="_Avg_Crash_Rate_per_100m_VMT">Calculations!$E$11:$E$14</definedName>
    <definedName name="Application_ID_Number">'Inputs &amp; Outputs'!$C$12</definedName>
    <definedName name="Appropriate_Crash_Reduction_Factor1">'Inputs &amp; Outputs'!$C$20</definedName>
    <definedName name="Appropriate_Crash_Reduction_Factor2">'Inputs &amp; Outputs'!$C$25</definedName>
    <definedName name="Appropriate_Crash_Reduction_Factor3">'Inputs &amp; Outputs'!$C$30</definedName>
    <definedName name="Base_Year">Calculations!$B$4</definedName>
    <definedName name="CRIS_Titles">Calculations!$D$11:$D$14</definedName>
    <definedName name="Freeway">[1]VMT!$B$45:$D$52</definedName>
    <definedName name="Non_Injry_Rate">Calculations!#REF!</definedName>
    <definedName name="Nonincap_Injry_Rate">Calculations!#REF!</definedName>
    <definedName name="Other">[1]VMT!$B$56:$D$63</definedName>
    <definedName name="_xlnm.Print_Area" localSheetId="6">'Assumed Values'!$B$2:$C$30</definedName>
    <definedName name="_xlnm.Print_Area" localSheetId="5">Calculations!$A$3:$W$37</definedName>
    <definedName name="_xlnm.Print_Area" localSheetId="2">'Emissions Reduction Worksheet'!$A$3:$K$33</definedName>
    <definedName name="_xlnm.Print_Area" localSheetId="3">'Inputs &amp; Outputs'!$B$2:$F$49</definedName>
    <definedName name="_xlnm.Print_Area" localSheetId="0">Instructions!$A$1:$G$12</definedName>
    <definedName name="_xlnm.Print_Area" localSheetId="1">'ITS Delay Worksheet'!$A$3:$J$33</definedName>
    <definedName name="Project_Title">'Inputs &amp; Outputs'!$C$5</definedName>
    <definedName name="Real_Discount_Rate">'Assumed Values'!$C$6</definedName>
    <definedName name="Service_Life1">'Inputs &amp; Outputs'!$C$21</definedName>
    <definedName name="Service_Life2">'Inputs &amp; Outputs'!$C$26</definedName>
    <definedName name="Service_Life3">'Inputs &amp; Outputs'!$C$31</definedName>
    <definedName name="Sponsor_ID_Number__CSJ__etc.">'Inputs &amp; Outputs'!$C$13</definedName>
    <definedName name="Value_of_Crash_Savings__2018_____000s">Calculations!$W$4:$W$36</definedName>
    <definedName name="Value_of_Statistical_Life_2018">'Value of Statistical Life'!$E$5:$E$9</definedName>
    <definedName name="Year_Open_to_Traffic?">'Inputs &amp; Outputs'!$C$16</definedName>
    <definedName name="Years_to_include_in_BCA_Analysis1">Calculations!$B$5</definedName>
    <definedName name="Years_to_include_in_BCA_Analysis2">Calculations!$B$6</definedName>
    <definedName name="Years_to_include_in_BCA_Analysis3">Calculations!$B$7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9" i="12" l="1"/>
  <c r="I37" i="12"/>
  <c r="L37" i="12"/>
  <c r="K37" i="12" s="1"/>
  <c r="M37" i="12"/>
  <c r="N37" i="12"/>
  <c r="V37" i="12"/>
  <c r="C36" i="11"/>
  <c r="Z242" i="20"/>
  <c r="C42" i="11"/>
  <c r="J37" i="12" l="1"/>
  <c r="R37" i="12"/>
  <c r="T37" i="12"/>
  <c r="P37" i="12"/>
  <c r="C15" i="22"/>
  <c r="C14" i="22"/>
  <c r="C34" i="11"/>
  <c r="C33" i="11"/>
  <c r="C16" i="22" l="1"/>
  <c r="B13" i="12" s="1"/>
  <c r="B12" i="12" l="1"/>
  <c r="J4" i="12" l="1"/>
  <c r="E5" i="12"/>
  <c r="E4" i="12"/>
  <c r="B8" i="12"/>
  <c r="C35" i="11"/>
  <c r="U4" i="12"/>
  <c r="S4" i="12"/>
  <c r="Q4" i="12"/>
  <c r="O4" i="12"/>
  <c r="V4" i="12" l="1"/>
  <c r="K4" i="12" l="1"/>
  <c r="C26" i="19"/>
  <c r="C25" i="19"/>
  <c r="C24" i="19"/>
  <c r="C23" i="19"/>
  <c r="C22" i="19"/>
  <c r="C21" i="19"/>
  <c r="C20" i="19"/>
  <c r="C19" i="19"/>
  <c r="C8" i="19"/>
  <c r="C7" i="19"/>
  <c r="C6" i="19"/>
  <c r="C5" i="19"/>
  <c r="I26" i="19"/>
  <c r="I25" i="19"/>
  <c r="I24" i="19"/>
  <c r="I23" i="19"/>
  <c r="I22" i="19"/>
  <c r="I21" i="19"/>
  <c r="I8" i="19"/>
  <c r="K8" i="19" s="1"/>
  <c r="I20" i="19"/>
  <c r="I19" i="19"/>
  <c r="I27" i="19" s="1"/>
  <c r="I7" i="19"/>
  <c r="K7" i="19" s="1"/>
  <c r="I6" i="19"/>
  <c r="K6" i="19" s="1"/>
  <c r="I5" i="19"/>
  <c r="K5" i="19" s="1"/>
  <c r="C31" i="11"/>
  <c r="B7" i="12" s="1"/>
  <c r="C30" i="11"/>
  <c r="C29" i="11"/>
  <c r="C24" i="11"/>
  <c r="C28" i="11"/>
  <c r="C26" i="11"/>
  <c r="B6" i="12" s="1"/>
  <c r="C25" i="11"/>
  <c r="C23" i="11"/>
  <c r="I28" i="19" l="1"/>
  <c r="I29" i="19"/>
  <c r="I30" i="19"/>
  <c r="E5" i="19"/>
  <c r="E6" i="19"/>
  <c r="E7" i="19"/>
  <c r="E8" i="19"/>
  <c r="O8" i="19"/>
  <c r="Q8" i="19" s="1"/>
  <c r="C30" i="19"/>
  <c r="C29" i="19"/>
  <c r="C28" i="19"/>
  <c r="C27" i="19"/>
  <c r="K28" i="19"/>
  <c r="K27" i="19"/>
  <c r="L27" i="19" s="1"/>
  <c r="K29" i="19"/>
  <c r="L29" i="19" s="1"/>
  <c r="K30" i="19"/>
  <c r="L30" i="19" s="1"/>
  <c r="R4" i="12"/>
  <c r="T4" i="12"/>
  <c r="J5" i="19"/>
  <c r="J6" i="19"/>
  <c r="J7" i="19"/>
  <c r="J8" i="19"/>
  <c r="D5" i="19" l="1"/>
  <c r="O6" i="19" l="1"/>
  <c r="Q6" i="19" s="1"/>
  <c r="O7" i="19"/>
  <c r="Q7" i="19" s="1"/>
  <c r="O19" i="19"/>
  <c r="O20" i="19"/>
  <c r="O21" i="19"/>
  <c r="O22" i="19"/>
  <c r="O23" i="19"/>
  <c r="O24" i="19"/>
  <c r="O25" i="19"/>
  <c r="O26" i="19"/>
  <c r="O5" i="19"/>
  <c r="Q5" i="19" s="1"/>
  <c r="P8" i="19" l="1"/>
  <c r="P7" i="19"/>
  <c r="P6" i="19"/>
  <c r="P5" i="19"/>
  <c r="E6" i="12" l="1"/>
  <c r="D7" i="19" l="1"/>
  <c r="D8" i="19"/>
  <c r="D30" i="19"/>
  <c r="E30" i="19" s="1"/>
  <c r="D29" i="19"/>
  <c r="E29" i="19" s="1"/>
  <c r="C21" i="11"/>
  <c r="B5" i="12" s="1"/>
  <c r="C20" i="11"/>
  <c r="C19" i="11"/>
  <c r="C18" i="11"/>
  <c r="D28" i="19"/>
  <c r="E28" i="19" s="1"/>
  <c r="D27" i="19"/>
  <c r="E27" i="19" s="1"/>
  <c r="D6" i="19"/>
  <c r="J28" i="19" l="1"/>
  <c r="O28" i="19"/>
  <c r="J29" i="19"/>
  <c r="O29" i="19"/>
  <c r="J27" i="19"/>
  <c r="O27" i="19"/>
  <c r="J30" i="19"/>
  <c r="O30" i="19"/>
  <c r="P30" i="19" l="1"/>
  <c r="Q30" i="19"/>
  <c r="P27" i="19"/>
  <c r="Q27" i="19"/>
  <c r="P29" i="19"/>
  <c r="Q29" i="19"/>
  <c r="P28" i="19"/>
  <c r="Q28" i="19"/>
  <c r="L15" i="12"/>
  <c r="L23" i="12"/>
  <c r="L31" i="12"/>
  <c r="L16" i="12"/>
  <c r="L24" i="12"/>
  <c r="L32" i="12"/>
  <c r="L17" i="12"/>
  <c r="L25" i="12"/>
  <c r="L18" i="12"/>
  <c r="L26" i="12"/>
  <c r="L13" i="12"/>
  <c r="L19" i="12"/>
  <c r="L27" i="12"/>
  <c r="L22" i="12"/>
  <c r="L33" i="12"/>
  <c r="L20" i="12"/>
  <c r="L28" i="12"/>
  <c r="L21" i="12"/>
  <c r="L29" i="12"/>
  <c r="L14" i="12"/>
  <c r="L30" i="12"/>
  <c r="L9" i="12"/>
  <c r="L11" i="12"/>
  <c r="L6" i="12"/>
  <c r="L12" i="12"/>
  <c r="L7" i="12"/>
  <c r="L8" i="12"/>
  <c r="L10" i="12"/>
  <c r="L34" i="12"/>
  <c r="L35" i="12"/>
  <c r="L36" i="12"/>
  <c r="L5" i="12"/>
  <c r="J5" i="12" l="1"/>
  <c r="J6" i="12" s="1"/>
  <c r="J7" i="12" s="1"/>
  <c r="J8" i="12" s="1"/>
  <c r="J9" i="12" s="1"/>
  <c r="K5" i="12"/>
  <c r="K6" i="12" s="1"/>
  <c r="K7" i="12" s="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J10" i="12" l="1"/>
  <c r="J11" i="12" s="1"/>
  <c r="J12" i="12" s="1"/>
  <c r="J13" i="12" s="1"/>
  <c r="J14" i="12" s="1"/>
  <c r="J15" i="12" s="1"/>
  <c r="J16" i="12" s="1"/>
  <c r="J17" i="12" s="1"/>
  <c r="J18" i="12" s="1"/>
  <c r="J19" i="12" s="1"/>
  <c r="J20" i="12" s="1"/>
  <c r="J21" i="12" s="1"/>
  <c r="J22" i="12" s="1"/>
  <c r="J23" i="12" s="1"/>
  <c r="J24" i="12" s="1"/>
  <c r="J25" i="12" s="1"/>
  <c r="J26" i="12" s="1"/>
  <c r="J27" i="12" s="1"/>
  <c r="J28" i="12" s="1"/>
  <c r="J29" i="12" s="1"/>
  <c r="J30" i="12" s="1"/>
  <c r="J31" i="12" s="1"/>
  <c r="J32" i="12" s="1"/>
  <c r="J33" i="12" s="1"/>
  <c r="J34" i="12" s="1"/>
  <c r="J35" i="12" s="1"/>
  <c r="J36" i="12" s="1"/>
  <c r="P4" i="12"/>
  <c r="W4" i="12" s="1"/>
  <c r="F8" i="19" l="1"/>
  <c r="F7" i="19"/>
  <c r="F6" i="19"/>
  <c r="F5" i="19"/>
  <c r="L5" i="19"/>
  <c r="L7" i="19"/>
  <c r="L6" i="19"/>
  <c r="L8" i="19"/>
  <c r="M4" i="12"/>
  <c r="N4" i="12" s="1"/>
  <c r="I5" i="12"/>
  <c r="V5" i="12" l="1"/>
  <c r="U5" i="12" s="1"/>
  <c r="U6" i="12" s="1"/>
  <c r="T5" i="12"/>
  <c r="S5" i="12" s="1"/>
  <c r="R5" i="12"/>
  <c r="Q5" i="12" s="1"/>
  <c r="P5" i="12"/>
  <c r="M5" i="12"/>
  <c r="N5" i="12" s="1"/>
  <c r="O5" i="12" s="1"/>
  <c r="I6" i="12"/>
  <c r="V6" i="12" s="1"/>
  <c r="W5" i="12" l="1"/>
  <c r="T6" i="12"/>
  <c r="S6" i="12" s="1"/>
  <c r="R6" i="12"/>
  <c r="Q6" i="12" s="1"/>
  <c r="P6" i="12"/>
  <c r="M6" i="12"/>
  <c r="N6" i="12" s="1"/>
  <c r="O6" i="12" s="1"/>
  <c r="I7" i="12"/>
  <c r="V7" i="12" s="1"/>
  <c r="C21" i="2"/>
  <c r="B18" i="5" s="1"/>
  <c r="E17" i="5" s="1"/>
  <c r="C22" i="2"/>
  <c r="B19" i="5"/>
  <c r="E18" i="5" s="1"/>
  <c r="G4" i="7"/>
  <c r="G5" i="7" s="1"/>
  <c r="G4" i="5"/>
  <c r="G5" i="5" s="1"/>
  <c r="G6" i="5" s="1"/>
  <c r="G7" i="5" s="1"/>
  <c r="G8" i="5" s="1"/>
  <c r="G9" i="5" s="1"/>
  <c r="G10" i="5" s="1"/>
  <c r="G11" i="5" s="1"/>
  <c r="G12" i="5" s="1"/>
  <c r="G13" i="5" s="1"/>
  <c r="G14" i="5" s="1"/>
  <c r="B18" i="7"/>
  <c r="B17" i="7"/>
  <c r="B16" i="7"/>
  <c r="E17" i="7"/>
  <c r="U7" i="12" l="1"/>
  <c r="W6" i="12"/>
  <c r="R7" i="12"/>
  <c r="Q7" i="12" s="1"/>
  <c r="T7" i="12"/>
  <c r="S7" i="12" s="1"/>
  <c r="P7" i="12"/>
  <c r="H4" i="7"/>
  <c r="I4" i="7" s="1"/>
  <c r="H10" i="5"/>
  <c r="C20" i="2"/>
  <c r="B21" i="5" s="1"/>
  <c r="C19" i="2"/>
  <c r="B20" i="5" s="1"/>
  <c r="H5" i="7"/>
  <c r="I5" i="7" s="1"/>
  <c r="G6" i="7"/>
  <c r="J14" i="5"/>
  <c r="G15" i="5"/>
  <c r="H14" i="5"/>
  <c r="M7" i="12"/>
  <c r="N7" i="12" s="1"/>
  <c r="O7" i="12" s="1"/>
  <c r="I8" i="12"/>
  <c r="V8" i="12" s="1"/>
  <c r="H6" i="5"/>
  <c r="H11" i="5"/>
  <c r="J5" i="5"/>
  <c r="J13" i="5"/>
  <c r="J11" i="5"/>
  <c r="J10" i="5"/>
  <c r="J9" i="5"/>
  <c r="J4" i="5"/>
  <c r="J12" i="5"/>
  <c r="J8" i="5"/>
  <c r="J7" i="5"/>
  <c r="J6" i="5"/>
  <c r="H12" i="5"/>
  <c r="H4" i="5"/>
  <c r="H13" i="5"/>
  <c r="H5" i="5"/>
  <c r="H7" i="5"/>
  <c r="H8" i="5"/>
  <c r="H9" i="5"/>
  <c r="W7" i="12" l="1"/>
  <c r="T8" i="12"/>
  <c r="R8" i="12"/>
  <c r="P8" i="12"/>
  <c r="C15" i="2"/>
  <c r="B19" i="7" s="1"/>
  <c r="K4" i="5"/>
  <c r="G7" i="7"/>
  <c r="H6" i="7"/>
  <c r="I6" i="7" s="1"/>
  <c r="H15" i="5"/>
  <c r="I15" i="5" s="1"/>
  <c r="J15" i="5"/>
  <c r="K15" i="5" s="1"/>
  <c r="G16" i="5"/>
  <c r="M8" i="12"/>
  <c r="N8" i="12" s="1"/>
  <c r="K10" i="5"/>
  <c r="K12" i="5"/>
  <c r="K8" i="5"/>
  <c r="K14" i="5"/>
  <c r="K7" i="5"/>
  <c r="K5" i="5"/>
  <c r="K6" i="5"/>
  <c r="K13" i="5"/>
  <c r="K11" i="5"/>
  <c r="K9" i="5"/>
  <c r="I13" i="5"/>
  <c r="I9" i="12"/>
  <c r="V9" i="12" s="1"/>
  <c r="I7" i="5"/>
  <c r="I8" i="5"/>
  <c r="I10" i="5"/>
  <c r="I9" i="5"/>
  <c r="I14" i="5"/>
  <c r="I12" i="5"/>
  <c r="I5" i="5"/>
  <c r="I6" i="5"/>
  <c r="I11" i="5"/>
  <c r="I4" i="5"/>
  <c r="R9" i="12" l="1"/>
  <c r="T9" i="12"/>
  <c r="P9" i="12"/>
  <c r="M9" i="12"/>
  <c r="N9" i="12" s="1"/>
  <c r="H16" i="5"/>
  <c r="J16" i="5"/>
  <c r="K16" i="5" s="1"/>
  <c r="G17" i="5"/>
  <c r="G8" i="7"/>
  <c r="H7" i="7"/>
  <c r="I7" i="7"/>
  <c r="J7" i="7" s="1"/>
  <c r="I10" i="12"/>
  <c r="V10" i="12" s="1"/>
  <c r="J6" i="7"/>
  <c r="J5" i="7"/>
  <c r="J4" i="7"/>
  <c r="R10" i="12" l="1"/>
  <c r="T10" i="12"/>
  <c r="P10" i="12"/>
  <c r="M10" i="12"/>
  <c r="M11" i="12" s="1"/>
  <c r="H8" i="7"/>
  <c r="I8" i="7"/>
  <c r="J8" i="7" s="1"/>
  <c r="G9" i="7"/>
  <c r="J17" i="5"/>
  <c r="K17" i="5" s="1"/>
  <c r="G18" i="5"/>
  <c r="H17" i="5"/>
  <c r="I17" i="5" s="1"/>
  <c r="I16" i="5"/>
  <c r="I11" i="12"/>
  <c r="V11" i="12" s="1"/>
  <c r="T11" i="12" l="1"/>
  <c r="R11" i="12"/>
  <c r="P11" i="12"/>
  <c r="N10" i="12"/>
  <c r="H9" i="7"/>
  <c r="I9" i="7" s="1"/>
  <c r="J9" i="7" s="1"/>
  <c r="G10" i="7"/>
  <c r="J18" i="5"/>
  <c r="K18" i="5" s="1"/>
  <c r="G19" i="5"/>
  <c r="H18" i="5"/>
  <c r="N11" i="12"/>
  <c r="M12" i="12"/>
  <c r="I12" i="12"/>
  <c r="V12" i="12" s="1"/>
  <c r="T12" i="12" l="1"/>
  <c r="R12" i="12"/>
  <c r="P12" i="12"/>
  <c r="G11" i="7"/>
  <c r="H10" i="7"/>
  <c r="I10" i="7" s="1"/>
  <c r="J10" i="7" s="1"/>
  <c r="I18" i="5"/>
  <c r="H19" i="5"/>
  <c r="I19" i="5" s="1"/>
  <c r="J19" i="5"/>
  <c r="K19" i="5" s="1"/>
  <c r="G20" i="5"/>
  <c r="M13" i="12"/>
  <c r="N12" i="12"/>
  <c r="I13" i="12"/>
  <c r="V13" i="12" s="1"/>
  <c r="T13" i="12" l="1"/>
  <c r="R13" i="12"/>
  <c r="P13" i="12"/>
  <c r="G12" i="7"/>
  <c r="H11" i="7"/>
  <c r="I11" i="7" s="1"/>
  <c r="J11" i="7" s="1"/>
  <c r="H20" i="5"/>
  <c r="I20" i="5" s="1"/>
  <c r="J20" i="5"/>
  <c r="K20" i="5" s="1"/>
  <c r="G21" i="5"/>
  <c r="M14" i="12"/>
  <c r="N13" i="12"/>
  <c r="I14" i="12"/>
  <c r="V14" i="12" s="1"/>
  <c r="T14" i="12" l="1"/>
  <c r="R14" i="12"/>
  <c r="P14" i="12"/>
  <c r="J21" i="5"/>
  <c r="K21" i="5" s="1"/>
  <c r="G22" i="5"/>
  <c r="H21" i="5"/>
  <c r="H12" i="7"/>
  <c r="I12" i="7" s="1"/>
  <c r="J12" i="7" s="1"/>
  <c r="G13" i="7"/>
  <c r="M15" i="12"/>
  <c r="N14" i="12"/>
  <c r="I15" i="12"/>
  <c r="V15" i="12" s="1"/>
  <c r="R15" i="12" l="1"/>
  <c r="T15" i="12"/>
  <c r="P15" i="12"/>
  <c r="I21" i="5"/>
  <c r="H13" i="7"/>
  <c r="I13" i="7" s="1"/>
  <c r="J13" i="7" s="1"/>
  <c r="G14" i="7"/>
  <c r="J22" i="5"/>
  <c r="K22" i="5" s="1"/>
  <c r="G23" i="5"/>
  <c r="H22" i="5"/>
  <c r="I22" i="5" s="1"/>
  <c r="M16" i="12"/>
  <c r="N15" i="12"/>
  <c r="I16" i="12"/>
  <c r="V16" i="12" s="1"/>
  <c r="T16" i="12" l="1"/>
  <c r="R16" i="12"/>
  <c r="P16" i="12"/>
  <c r="H23" i="5"/>
  <c r="I23" i="5" s="1"/>
  <c r="J23" i="5"/>
  <c r="K23" i="5" s="1"/>
  <c r="G24" i="5"/>
  <c r="G15" i="7"/>
  <c r="H14" i="7"/>
  <c r="I14" i="7" s="1"/>
  <c r="J14" i="7" s="1"/>
  <c r="M17" i="12"/>
  <c r="N16" i="12"/>
  <c r="I17" i="12"/>
  <c r="V17" i="12" s="1"/>
  <c r="T17" i="12" l="1"/>
  <c r="R17" i="12"/>
  <c r="P17" i="12"/>
  <c r="H24" i="5"/>
  <c r="I24" i="5" s="1"/>
  <c r="J24" i="5"/>
  <c r="K24" i="5" s="1"/>
  <c r="B11" i="5" s="1"/>
  <c r="B12" i="5" s="1"/>
  <c r="G25" i="5"/>
  <c r="G16" i="7"/>
  <c r="H15" i="7"/>
  <c r="I15" i="7"/>
  <c r="J15" i="7" s="1"/>
  <c r="M18" i="12"/>
  <c r="N17" i="12"/>
  <c r="I18" i="12"/>
  <c r="V18" i="12" s="1"/>
  <c r="R18" i="12" l="1"/>
  <c r="T18" i="12"/>
  <c r="P18" i="12"/>
  <c r="H16" i="7"/>
  <c r="I16" i="7"/>
  <c r="J16" i="7" s="1"/>
  <c r="G17" i="7"/>
  <c r="J25" i="5"/>
  <c r="K25" i="5" s="1"/>
  <c r="G26" i="5"/>
  <c r="H25" i="5"/>
  <c r="I25" i="5" s="1"/>
  <c r="M19" i="12"/>
  <c r="N18" i="12"/>
  <c r="I19" i="12"/>
  <c r="V19" i="12" s="1"/>
  <c r="R19" i="12" l="1"/>
  <c r="T19" i="12"/>
  <c r="C43" i="11"/>
  <c r="E13" i="19" s="1"/>
  <c r="P19" i="12"/>
  <c r="R5" i="19"/>
  <c r="R7" i="19"/>
  <c r="F14" i="19"/>
  <c r="R6" i="19"/>
  <c r="D14" i="19"/>
  <c r="C14" i="19"/>
  <c r="F13" i="19"/>
  <c r="E14" i="12" s="1"/>
  <c r="E14" i="19"/>
  <c r="D13" i="19"/>
  <c r="R8" i="19"/>
  <c r="C13" i="19"/>
  <c r="H17" i="7"/>
  <c r="I17" i="7" s="1"/>
  <c r="J17" i="7" s="1"/>
  <c r="G18" i="7"/>
  <c r="J26" i="5"/>
  <c r="K26" i="5" s="1"/>
  <c r="G27" i="5"/>
  <c r="H26" i="5"/>
  <c r="I26" i="5" s="1"/>
  <c r="M20" i="12"/>
  <c r="N19" i="12"/>
  <c r="I20" i="12"/>
  <c r="V20" i="12" s="1"/>
  <c r="E12" i="12" l="1"/>
  <c r="E13" i="12"/>
  <c r="F28" i="19"/>
  <c r="F30" i="19"/>
  <c r="F34" i="19" s="1"/>
  <c r="E44" i="12" s="1"/>
  <c r="F44" i="12" s="1"/>
  <c r="F29" i="19"/>
  <c r="E34" i="19" s="1"/>
  <c r="E43" i="12" s="1"/>
  <c r="F43" i="12" s="1"/>
  <c r="F27" i="19"/>
  <c r="C34" i="19" s="1"/>
  <c r="E41" i="12" s="1"/>
  <c r="F41" i="12" s="1"/>
  <c r="C16" i="19"/>
  <c r="E11" i="12"/>
  <c r="D16" i="19"/>
  <c r="F16" i="19"/>
  <c r="E16" i="19"/>
  <c r="L28" i="19"/>
  <c r="R28" i="19"/>
  <c r="R30" i="19"/>
  <c r="R27" i="19"/>
  <c r="R29" i="19"/>
  <c r="F4" i="12"/>
  <c r="T20" i="12"/>
  <c r="R20" i="12"/>
  <c r="P20" i="12"/>
  <c r="G19" i="7"/>
  <c r="H18" i="7"/>
  <c r="I18" i="7" s="1"/>
  <c r="J18" i="7" s="1"/>
  <c r="H27" i="5"/>
  <c r="I27" i="5" s="1"/>
  <c r="J27" i="5"/>
  <c r="K27" i="5" s="1"/>
  <c r="G28" i="5"/>
  <c r="M21" i="12"/>
  <c r="N20" i="12"/>
  <c r="I21" i="12"/>
  <c r="V21" i="12" s="1"/>
  <c r="D34" i="19" l="1"/>
  <c r="E42" i="12" s="1"/>
  <c r="F42" i="12" s="1"/>
  <c r="T21" i="12"/>
  <c r="R21" i="12"/>
  <c r="P21" i="12"/>
  <c r="H28" i="5"/>
  <c r="I28" i="5" s="1"/>
  <c r="J28" i="5"/>
  <c r="K28" i="5" s="1"/>
  <c r="G29" i="5"/>
  <c r="G20" i="7"/>
  <c r="H19" i="7"/>
  <c r="I19" i="7" s="1"/>
  <c r="J19" i="7" s="1"/>
  <c r="M22" i="12"/>
  <c r="N21" i="12"/>
  <c r="I22" i="12"/>
  <c r="V22" i="12" s="1"/>
  <c r="T22" i="12" l="1"/>
  <c r="R22" i="12"/>
  <c r="P22" i="12"/>
  <c r="H20" i="7"/>
  <c r="I20" i="7" s="1"/>
  <c r="J20" i="7" s="1"/>
  <c r="G21" i="7"/>
  <c r="J29" i="5"/>
  <c r="K29" i="5" s="1"/>
  <c r="H29" i="5"/>
  <c r="M23" i="12"/>
  <c r="N22" i="12"/>
  <c r="I23" i="12"/>
  <c r="V23" i="12" s="1"/>
  <c r="R23" i="12" l="1"/>
  <c r="T23" i="12"/>
  <c r="P23" i="12"/>
  <c r="H21" i="7"/>
  <c r="I21" i="7" s="1"/>
  <c r="J21" i="7" s="1"/>
  <c r="G22" i="7"/>
  <c r="I29" i="5"/>
  <c r="B13" i="5"/>
  <c r="M24" i="12"/>
  <c r="N23" i="12"/>
  <c r="I24" i="12"/>
  <c r="V24" i="12" s="1"/>
  <c r="R24" i="12" l="1"/>
  <c r="T24" i="12"/>
  <c r="P24" i="12"/>
  <c r="X4" i="12"/>
  <c r="G23" i="7"/>
  <c r="H22" i="7"/>
  <c r="I22" i="7" s="1"/>
  <c r="J22" i="7" s="1"/>
  <c r="M25" i="12"/>
  <c r="N24" i="12"/>
  <c r="I25" i="12"/>
  <c r="V25" i="12" s="1"/>
  <c r="T25" i="12" l="1"/>
  <c r="R25" i="12"/>
  <c r="P25" i="12"/>
  <c r="X5" i="12"/>
  <c r="G24" i="7"/>
  <c r="H23" i="7"/>
  <c r="I23" i="7"/>
  <c r="J23" i="7" s="1"/>
  <c r="M26" i="12"/>
  <c r="N25" i="12"/>
  <c r="I26" i="12"/>
  <c r="V26" i="12" s="1"/>
  <c r="T26" i="12" l="1"/>
  <c r="R26" i="12"/>
  <c r="P26" i="12"/>
  <c r="X6" i="12"/>
  <c r="H24" i="7"/>
  <c r="I24" i="7"/>
  <c r="J24" i="7" s="1"/>
  <c r="G25" i="7"/>
  <c r="M27" i="12"/>
  <c r="N26" i="12"/>
  <c r="I27" i="12"/>
  <c r="V27" i="12" s="1"/>
  <c r="R27" i="12" l="1"/>
  <c r="T27" i="12"/>
  <c r="P27" i="12"/>
  <c r="H25" i="7"/>
  <c r="I25" i="7" s="1"/>
  <c r="J25" i="7" s="1"/>
  <c r="G26" i="7"/>
  <c r="M28" i="12"/>
  <c r="N27" i="12"/>
  <c r="I28" i="12"/>
  <c r="V28" i="12" s="1"/>
  <c r="T28" i="12" l="1"/>
  <c r="R28" i="12"/>
  <c r="P28" i="12"/>
  <c r="G27" i="7"/>
  <c r="H26" i="7"/>
  <c r="I26" i="7" s="1"/>
  <c r="J26" i="7" s="1"/>
  <c r="M29" i="12"/>
  <c r="N28" i="12"/>
  <c r="I29" i="12"/>
  <c r="V29" i="12" s="1"/>
  <c r="T29" i="12" l="1"/>
  <c r="P29" i="12"/>
  <c r="G28" i="7"/>
  <c r="H27" i="7"/>
  <c r="I27" i="7"/>
  <c r="J27" i="7" s="1"/>
  <c r="N29" i="12"/>
  <c r="M30" i="12"/>
  <c r="N30" i="12" s="1"/>
  <c r="I30" i="12"/>
  <c r="V30" i="12" s="1"/>
  <c r="R30" i="12" l="1"/>
  <c r="T30" i="12"/>
  <c r="P30" i="12"/>
  <c r="H28" i="7"/>
  <c r="I28" i="7"/>
  <c r="J28" i="7" s="1"/>
  <c r="G29" i="7"/>
  <c r="M31" i="12"/>
  <c r="N31" i="12" s="1"/>
  <c r="I31" i="12"/>
  <c r="V31" i="12" s="1"/>
  <c r="I32" i="12" l="1"/>
  <c r="V32" i="12" s="1"/>
  <c r="R31" i="12"/>
  <c r="T31" i="12"/>
  <c r="P31" i="12"/>
  <c r="H29" i="7"/>
  <c r="I29" i="7" s="1"/>
  <c r="J29" i="7" s="1"/>
  <c r="B11" i="7" s="1"/>
  <c r="B12" i="7" s="1"/>
  <c r="I33" i="12"/>
  <c r="V33" i="12" s="1"/>
  <c r="M32" i="12"/>
  <c r="N32" i="12" s="1"/>
  <c r="R33" i="12" l="1"/>
  <c r="T33" i="12"/>
  <c r="P33" i="12"/>
  <c r="T32" i="12"/>
  <c r="R32" i="12"/>
  <c r="P32" i="12"/>
  <c r="I34" i="12"/>
  <c r="V34" i="12" s="1"/>
  <c r="M33" i="12"/>
  <c r="N33" i="12" s="1"/>
  <c r="T34" i="12" l="1"/>
  <c r="R34" i="12"/>
  <c r="P34" i="12"/>
  <c r="I35" i="12"/>
  <c r="V35" i="12" s="1"/>
  <c r="M34" i="12"/>
  <c r="N34" i="12" s="1"/>
  <c r="R35" i="12" l="1"/>
  <c r="T35" i="12"/>
  <c r="P35" i="12"/>
  <c r="I36" i="12"/>
  <c r="V36" i="12" s="1"/>
  <c r="M35" i="12"/>
  <c r="N35" i="12" s="1"/>
  <c r="T36" i="12" l="1"/>
  <c r="R36" i="12"/>
  <c r="P36" i="12"/>
  <c r="F5" i="12"/>
  <c r="F6" i="12" s="1"/>
  <c r="M36" i="12"/>
  <c r="N36" i="12" s="1"/>
  <c r="E53" i="12" l="1"/>
  <c r="U8" i="12" s="1"/>
  <c r="U9" i="12" s="1"/>
  <c r="U10" i="12" s="1"/>
  <c r="U11" i="12" s="1"/>
  <c r="U12" i="12" s="1"/>
  <c r="U13" i="12" s="1"/>
  <c r="U14" i="12" s="1"/>
  <c r="U15" i="12" s="1"/>
  <c r="U16" i="12" s="1"/>
  <c r="U17" i="12" s="1"/>
  <c r="U18" i="12" s="1"/>
  <c r="U19" i="12" s="1"/>
  <c r="U20" i="12" s="1"/>
  <c r="U21" i="12" s="1"/>
  <c r="U22" i="12" s="1"/>
  <c r="U23" i="12" s="1"/>
  <c r="U24" i="12" s="1"/>
  <c r="U25" i="12" s="1"/>
  <c r="U26" i="12" s="1"/>
  <c r="U27" i="12" s="1"/>
  <c r="U28" i="12" s="1"/>
  <c r="U29" i="12" s="1"/>
  <c r="U30" i="12" s="1"/>
  <c r="U31" i="12" s="1"/>
  <c r="U32" i="12" s="1"/>
  <c r="U33" i="12" s="1"/>
  <c r="U34" i="12" s="1"/>
  <c r="U35" i="12" s="1"/>
  <c r="U36" i="12" s="1"/>
  <c r="U37" i="12" s="1"/>
  <c r="F14" i="12"/>
  <c r="F12" i="12"/>
  <c r="F13" i="12"/>
  <c r="F11" i="12"/>
  <c r="E22" i="12" l="1"/>
  <c r="F22" i="12" s="1"/>
  <c r="E21" i="12"/>
  <c r="F21" i="12" s="1"/>
  <c r="E23" i="12"/>
  <c r="F23" i="12" s="1"/>
  <c r="E24" i="12"/>
  <c r="F24" i="12" s="1"/>
  <c r="E50" i="12"/>
  <c r="X7" i="12"/>
  <c r="E31" i="12" l="1"/>
  <c r="F31" i="12" s="1"/>
  <c r="E34" i="12"/>
  <c r="F34" i="12" s="1"/>
  <c r="E33" i="12"/>
  <c r="F33" i="12" s="1"/>
  <c r="E32" i="12"/>
  <c r="F32" i="12" s="1"/>
  <c r="O8" i="12"/>
  <c r="E51" i="12"/>
  <c r="O9" i="12" l="1"/>
  <c r="O10" i="12" s="1"/>
  <c r="E52" i="12"/>
  <c r="Q8" i="12"/>
  <c r="S8" i="12" l="1"/>
  <c r="S9" i="12" s="1"/>
  <c r="S10" i="12" s="1"/>
  <c r="S11" i="12" s="1"/>
  <c r="S12" i="12" s="1"/>
  <c r="S13" i="12" s="1"/>
  <c r="S14" i="12" s="1"/>
  <c r="S15" i="12" s="1"/>
  <c r="S16" i="12" s="1"/>
  <c r="S17" i="12" s="1"/>
  <c r="S18" i="12" s="1"/>
  <c r="S19" i="12" s="1"/>
  <c r="S20" i="12" s="1"/>
  <c r="S21" i="12" s="1"/>
  <c r="S22" i="12" s="1"/>
  <c r="S23" i="12" s="1"/>
  <c r="S24" i="12" s="1"/>
  <c r="S25" i="12" s="1"/>
  <c r="S26" i="12" s="1"/>
  <c r="S27" i="12" s="1"/>
  <c r="S28" i="12" s="1"/>
  <c r="S29" i="12" s="1"/>
  <c r="S30" i="12" s="1"/>
  <c r="S31" i="12" s="1"/>
  <c r="S32" i="12" s="1"/>
  <c r="S33" i="12" s="1"/>
  <c r="S34" i="12" s="1"/>
  <c r="S35" i="12" s="1"/>
  <c r="S36" i="12" s="1"/>
  <c r="S37" i="12" s="1"/>
  <c r="E54" i="12"/>
  <c r="Q9" i="12"/>
  <c r="O11" i="12"/>
  <c r="W9" i="12" l="1"/>
  <c r="X9" i="12" s="1"/>
  <c r="W8" i="12"/>
  <c r="X8" i="12" s="1"/>
  <c r="O12" i="12"/>
  <c r="Q10" i="12"/>
  <c r="W10" i="12" s="1"/>
  <c r="Q11" i="12" l="1"/>
  <c r="W11" i="12" s="1"/>
  <c r="X10" i="12"/>
  <c r="O13" i="12"/>
  <c r="O14" i="12" l="1"/>
  <c r="Q12" i="12"/>
  <c r="W12" i="12" s="1"/>
  <c r="X11" i="12"/>
  <c r="Q13" i="12" l="1"/>
  <c r="W13" i="12" s="1"/>
  <c r="X12" i="12"/>
  <c r="O15" i="12"/>
  <c r="O16" i="12" l="1"/>
  <c r="Q14" i="12"/>
  <c r="W14" i="12" s="1"/>
  <c r="X13" i="12"/>
  <c r="Q15" i="12" l="1"/>
  <c r="W15" i="12" s="1"/>
  <c r="X14" i="12"/>
  <c r="O17" i="12"/>
  <c r="O18" i="12" l="1"/>
  <c r="Q16" i="12"/>
  <c r="W16" i="12" s="1"/>
  <c r="X15" i="12"/>
  <c r="Q17" i="12" l="1"/>
  <c r="W17" i="12" s="1"/>
  <c r="X16" i="12"/>
  <c r="O19" i="12"/>
  <c r="O20" i="12" l="1"/>
  <c r="Q18" i="12"/>
  <c r="W18" i="12" s="1"/>
  <c r="X17" i="12"/>
  <c r="Q19" i="12" l="1"/>
  <c r="W19" i="12" s="1"/>
  <c r="X18" i="12"/>
  <c r="O21" i="12"/>
  <c r="O22" i="12" l="1"/>
  <c r="Q20" i="12"/>
  <c r="W20" i="12" s="1"/>
  <c r="X19" i="12"/>
  <c r="Q21" i="12" l="1"/>
  <c r="W21" i="12" s="1"/>
  <c r="X20" i="12"/>
  <c r="O23" i="12"/>
  <c r="O24" i="12" l="1"/>
  <c r="Q22" i="12"/>
  <c r="W22" i="12" s="1"/>
  <c r="X21" i="12"/>
  <c r="Q23" i="12" l="1"/>
  <c r="W23" i="12" s="1"/>
  <c r="X22" i="12"/>
  <c r="O25" i="12"/>
  <c r="O26" i="12" l="1"/>
  <c r="Q24" i="12"/>
  <c r="W24" i="12" s="1"/>
  <c r="X23" i="12"/>
  <c r="Q25" i="12" l="1"/>
  <c r="W25" i="12" s="1"/>
  <c r="X24" i="12"/>
  <c r="O27" i="12"/>
  <c r="O28" i="12" l="1"/>
  <c r="Q26" i="12"/>
  <c r="W26" i="12" s="1"/>
  <c r="X25" i="12"/>
  <c r="Q27" i="12" l="1"/>
  <c r="W27" i="12" s="1"/>
  <c r="X26" i="12"/>
  <c r="O29" i="12"/>
  <c r="O30" i="12" l="1"/>
  <c r="Q28" i="12"/>
  <c r="W28" i="12" s="1"/>
  <c r="X27" i="12"/>
  <c r="Q29" i="12" l="1"/>
  <c r="W29" i="12" s="1"/>
  <c r="X28" i="12"/>
  <c r="O31" i="12"/>
  <c r="O32" i="12" l="1"/>
  <c r="Q30" i="12"/>
  <c r="W30" i="12" s="1"/>
  <c r="X29" i="12"/>
  <c r="Q31" i="12" l="1"/>
  <c r="W31" i="12" s="1"/>
  <c r="X30" i="12"/>
  <c r="O33" i="12"/>
  <c r="O34" i="12" l="1"/>
  <c r="Q32" i="12"/>
  <c r="W32" i="12" s="1"/>
  <c r="X31" i="12"/>
  <c r="Q33" i="12" l="1"/>
  <c r="W33" i="12" s="1"/>
  <c r="X32" i="12"/>
  <c r="O35" i="12"/>
  <c r="O36" i="12" l="1"/>
  <c r="O37" i="12" s="1"/>
  <c r="Q34" i="12"/>
  <c r="W34" i="12" s="1"/>
  <c r="X33" i="12"/>
  <c r="Q35" i="12" l="1"/>
  <c r="W35" i="12" s="1"/>
  <c r="X34" i="12"/>
  <c r="Q36" i="12" l="1"/>
  <c r="Q37" i="12" s="1"/>
  <c r="W37" i="12" s="1"/>
  <c r="X37" i="12" s="1"/>
  <c r="X35" i="12"/>
  <c r="W36" i="12" l="1"/>
  <c r="X36" i="12" s="1"/>
  <c r="X38" i="12" l="1"/>
  <c r="C49" i="11" s="1"/>
</calcChain>
</file>

<file path=xl/sharedStrings.xml><?xml version="1.0" encoding="utf-8"?>
<sst xmlns="http://schemas.openxmlformats.org/spreadsheetml/2006/main" count="5542" uniqueCount="517">
  <si>
    <t>Project Information</t>
  </si>
  <si>
    <t>Assumptions</t>
  </si>
  <si>
    <t>Base Year</t>
  </si>
  <si>
    <t>Discount Rate</t>
  </si>
  <si>
    <t>Vehicle Occupancy</t>
  </si>
  <si>
    <t>Name:</t>
  </si>
  <si>
    <t>ID Number:</t>
  </si>
  <si>
    <t>New HOV?</t>
  </si>
  <si>
    <t>Value of Travel Time (VoTT)</t>
  </si>
  <si>
    <t>With Project</t>
  </si>
  <si>
    <t>Control Values</t>
  </si>
  <si>
    <t>YES</t>
  </si>
  <si>
    <t>NO</t>
  </si>
  <si>
    <t>Year</t>
  </si>
  <si>
    <t>Facility V/C Ratio</t>
  </si>
  <si>
    <t>Interim Calculations</t>
  </si>
  <si>
    <t>Annual Days of Travel</t>
  </si>
  <si>
    <t>Delay B/C Ratio</t>
  </si>
  <si>
    <t>BCA Results</t>
  </si>
  <si>
    <t>Daily System/Facility Data</t>
  </si>
  <si>
    <t>Annual VHT Savings</t>
  </si>
  <si>
    <t>Common Values:</t>
  </si>
  <si>
    <t>Delay Analysis Values:</t>
  </si>
  <si>
    <t>Emissions Reduction Values:</t>
  </si>
  <si>
    <t>Base Year for Analysis</t>
  </si>
  <si>
    <t>Real Discount Rate</t>
  </si>
  <si>
    <t>Applicable Project Life</t>
  </si>
  <si>
    <t>See Texas Guide to Accepted Mobile Source Emission Reduction Strategies (MOSER), page A.8.9</t>
  </si>
  <si>
    <r>
      <t xml:space="preserve">VOC emissions factor, </t>
    </r>
    <r>
      <rPr>
        <b/>
        <u/>
        <sz val="11"/>
        <color theme="1"/>
        <rFont val="Calibri"/>
        <family val="2"/>
        <scheme val="minor"/>
      </rPr>
      <t>Ped/Bike Projects Only</t>
    </r>
    <r>
      <rPr>
        <sz val="11"/>
        <color theme="1"/>
        <rFont val="Calibri"/>
        <family val="2"/>
        <scheme val="minor"/>
      </rPr>
      <t xml:space="preserve"> (g/VMT)</t>
    </r>
  </si>
  <si>
    <r>
      <t xml:space="preserve">NOx emissions factor, </t>
    </r>
    <r>
      <rPr>
        <b/>
        <u/>
        <sz val="11"/>
        <color theme="1"/>
        <rFont val="Calibri"/>
        <family val="2"/>
        <scheme val="minor"/>
      </rPr>
      <t>Ped/Bike Projects Only</t>
    </r>
    <r>
      <rPr>
        <sz val="11"/>
        <color theme="1"/>
        <rFont val="Calibri"/>
        <family val="2"/>
        <scheme val="minor"/>
      </rPr>
      <t xml:space="preserve"> (g/VMT)</t>
    </r>
  </si>
  <si>
    <t>VOC Emissions Factor (g/mi)</t>
  </si>
  <si>
    <t>Nox Emissions Factor (g/mi)</t>
  </si>
  <si>
    <t>Emissions Reduction Estimates</t>
  </si>
  <si>
    <t>VMT Reduced (Daily)</t>
  </si>
  <si>
    <t>AND</t>
  </si>
  <si>
    <t>OR</t>
  </si>
  <si>
    <t>Project Life (see MOSER page A.8.9)</t>
  </si>
  <si>
    <t>Bike/Ped or LCI?</t>
  </si>
  <si>
    <t>VOC Emissions Reduced (metric tons/yr)</t>
  </si>
  <si>
    <t>NOx Emissions Reduced (metric tons/yr)</t>
  </si>
  <si>
    <t>NOx Reduced (tonnes/yr)</t>
  </si>
  <si>
    <t>VOC Reduced (tonnes/year)</t>
  </si>
  <si>
    <t>IDAS Vehicle Occupancy</t>
  </si>
  <si>
    <t>Annual VHT Reduction (Vehicles)</t>
  </si>
  <si>
    <t>Annual PHT Reduction (IDAS)</t>
  </si>
  <si>
    <t>Discounted Delay Benefits (2015 $, '000s)</t>
  </si>
  <si>
    <t>Year Open to Traffic?</t>
  </si>
  <si>
    <t>Total Cost (2015 $, '000s)</t>
  </si>
  <si>
    <t>Federal Funding Req. (2015 $, '000s)</t>
  </si>
  <si>
    <t>Value of Delay Savings (2013 $, '000s)</t>
  </si>
  <si>
    <t>Value of VOC Savings (2013 $, '000s)</t>
  </si>
  <si>
    <t>Value of NOx Savings (2013 $, '000s)</t>
  </si>
  <si>
    <t>Discounted Emissions Benefits (2015 $, '000s)</t>
  </si>
  <si>
    <t>Annualized Cost Effectiveness (2015 $, '000s/tonne)</t>
  </si>
  <si>
    <t>Volatile Organic Compounds (VOCs), $ / metric ton (2015 $)</t>
  </si>
  <si>
    <t>Nitrogen oxides (NOx), $ / metric ton (2015 $)</t>
  </si>
  <si>
    <t>Safety Analysis Values:</t>
  </si>
  <si>
    <t>Values for non-fatal injuries provided in "Value of Statistical Life" tab.</t>
  </si>
  <si>
    <t>Daily Travel Demand</t>
  </si>
  <si>
    <t>Demand Growth</t>
  </si>
  <si>
    <t>Benefit Cap</t>
  </si>
  <si>
    <t>Real wage growth rate</t>
  </si>
  <si>
    <t>n/a</t>
  </si>
  <si>
    <t>Benefit Results</t>
  </si>
  <si>
    <t>INPUTS</t>
  </si>
  <si>
    <t>OUTPUTS</t>
  </si>
  <si>
    <t>Service Life (years):</t>
  </si>
  <si>
    <t>Appropriate Crash Reduction Factor (%):</t>
  </si>
  <si>
    <t>Volatile Organic Compounds (VOCs), $ / metric ton (2018 $)</t>
  </si>
  <si>
    <t>Nitrogen oxides (NOx), $ / metric ton (2018 $)</t>
  </si>
  <si>
    <t>Value of Travel Time (VoTT), 2018 $</t>
  </si>
  <si>
    <t>Limits (From)</t>
  </si>
  <si>
    <t>Limits (To)</t>
  </si>
  <si>
    <t>Length (in Miles)</t>
  </si>
  <si>
    <t>County</t>
  </si>
  <si>
    <t>Facility Type</t>
  </si>
  <si>
    <t>K</t>
  </si>
  <si>
    <t>A</t>
  </si>
  <si>
    <t>B</t>
  </si>
  <si>
    <t>C</t>
  </si>
  <si>
    <t>Volume</t>
  </si>
  <si>
    <t>Project Title:</t>
  </si>
  <si>
    <t>Street Name:</t>
  </si>
  <si>
    <t>Work Code</t>
  </si>
  <si>
    <t>Work Type (TxDOT HSIP)</t>
  </si>
  <si>
    <t>Crash Reduction Factor</t>
  </si>
  <si>
    <t>Add Left Turn Lane</t>
  </si>
  <si>
    <t>Add Right Turn Lane</t>
  </si>
  <si>
    <t>Add Through Lane</t>
  </si>
  <si>
    <t>Close Crossover</t>
  </si>
  <si>
    <t>Construct Interchange</t>
  </si>
  <si>
    <r>
      <t>Construct Paved Shoulders (</t>
    </r>
    <r>
      <rPr>
        <u/>
        <sz val="11"/>
        <color theme="1"/>
        <rFont val="Calibri"/>
        <family val="2"/>
        <scheme val="minor"/>
      </rPr>
      <t>&gt;</t>
    </r>
    <r>
      <rPr>
        <sz val="11"/>
        <color theme="1"/>
        <rFont val="Calibri"/>
        <family val="2"/>
        <scheme val="minor"/>
      </rPr>
      <t xml:space="preserve"> 5ft)</t>
    </r>
  </si>
  <si>
    <t>Construct Paved Shoulders (1 – 4 ft.)</t>
  </si>
  <si>
    <t>Construct Pedestrian Over/Under Pass</t>
  </si>
  <si>
    <t>Construct Turn Arounds</t>
  </si>
  <si>
    <t>Convert 2-Lane Facility to 4-Lane Divided</t>
  </si>
  <si>
    <t>Convert to One-Way Frontage Roads</t>
  </si>
  <si>
    <t>Flatten Side Slope</t>
  </si>
  <si>
    <t>Grade Separation</t>
  </si>
  <si>
    <t>Improve Horizontal Alignment</t>
  </si>
  <si>
    <t>Improve Pedestrian Signals</t>
  </si>
  <si>
    <t>Improve School Zone</t>
  </si>
  <si>
    <t>Improve Traffic Signals</t>
  </si>
  <si>
    <t>Improve Vertical Alignment</t>
  </si>
  <si>
    <t>Increase Superelevation</t>
  </si>
  <si>
    <t>Install Advance Warning Signals (Curve)</t>
  </si>
  <si>
    <t>Install Advance Warning Signals (Intersection — Existing Signal, Flashing Beacon or STOP Signs)</t>
  </si>
  <si>
    <t>Install Advance Warning Signals and Signs</t>
  </si>
  <si>
    <t>Install Advance Warning Signals and Signs (Curve)</t>
  </si>
  <si>
    <t>Install Advance Warning Signals and Signs (Intersection — Existing Signal, Flashing Beacon or STOP Signs)</t>
  </si>
  <si>
    <t>Install Advance Warning Signs (Curve — Existing Warning Signals)</t>
  </si>
  <si>
    <t>Install Advance Warning Signs (Intersection — Existing Warning Signals</t>
  </si>
  <si>
    <t>Install Centerline Striping</t>
  </si>
  <si>
    <t>Install Continuous Turn Lane</t>
  </si>
  <si>
    <t>Install Delineators</t>
  </si>
  <si>
    <t>Install Edge Marking</t>
  </si>
  <si>
    <t>Install Impact Attenuation System</t>
  </si>
  <si>
    <t>Install Intersection Flashing Beacon</t>
  </si>
  <si>
    <t>Install Median Barrier</t>
  </si>
  <si>
    <t>Install Passing Lanes on 2-Lane Road</t>
  </si>
  <si>
    <t>Install Pavement Markings</t>
  </si>
  <si>
    <t>Install Pedestrian Crosswalk</t>
  </si>
  <si>
    <t>Install Pedestrian Signal</t>
  </si>
  <si>
    <t>Install Raised Median</t>
  </si>
  <si>
    <t>Install School Zones</t>
  </si>
  <si>
    <t>Install Sidewalks</t>
  </si>
  <si>
    <t>Install Traffic Signal</t>
  </si>
  <si>
    <t>Install Warning/Guide Signs</t>
  </si>
  <si>
    <t>Interconnect Signals</t>
  </si>
  <si>
    <t>Lengthen Left Turn Lane</t>
  </si>
  <si>
    <t>Lengthen Right Turn Lane</t>
  </si>
  <si>
    <t>Replace Flashing Beacon with a Traffic Signal</t>
  </si>
  <si>
    <t>Resurfacing</t>
  </si>
  <si>
    <t>Safety Lighting</t>
  </si>
  <si>
    <t>Safety Lighting at Intersection</t>
  </si>
  <si>
    <t>Safety Treat Fixed Objects</t>
  </si>
  <si>
    <t>Widen Bridge</t>
  </si>
  <si>
    <t>Widen Lane(s)</t>
  </si>
  <si>
    <t>Widen Paved Shoulder (to 5 ft. or less)</t>
  </si>
  <si>
    <t>Widen Paved Shoulders (to &gt; 5 ft.)</t>
  </si>
  <si>
    <t>Work Type Code</t>
  </si>
  <si>
    <t>Proposed Improvements Information</t>
  </si>
  <si>
    <t>Data entered by the sponsors</t>
  </si>
  <si>
    <t>Benefits calculated by the template</t>
  </si>
  <si>
    <t>Crash Savings in Year Open to Traffic</t>
  </si>
  <si>
    <t>Service life</t>
  </si>
  <si>
    <t>Total Fatalities</t>
  </si>
  <si>
    <t>Total Injury</t>
  </si>
  <si>
    <t>Motorist Fatalities</t>
  </si>
  <si>
    <t>Pedestrian Fatalities</t>
  </si>
  <si>
    <t>Cyclist Fatalities</t>
  </si>
  <si>
    <t>Preventable Crash Type</t>
  </si>
  <si>
    <t>Preventable Crash types</t>
  </si>
  <si>
    <t>Vehicle Movements/Manner of Collision, Roadway
Related</t>
  </si>
  <si>
    <t xml:space="preserve">Intersection Related </t>
  </si>
  <si>
    <t>Intersection Related</t>
  </si>
  <si>
    <t>Intersection Related, Vehicle Movements/Manner of
Collision</t>
  </si>
  <si>
    <t>Pedestrian, Cyclist</t>
  </si>
  <si>
    <t>All</t>
  </si>
  <si>
    <t>Roadway Related</t>
  </si>
  <si>
    <t>Roadway Related, Dark light condition</t>
  </si>
  <si>
    <t>Intersection Related, Vehicle Movements/Manner of
Collision, Pedestrian, Cyclist</t>
  </si>
  <si>
    <t>Vehicle Movements/Manner of Collision</t>
  </si>
  <si>
    <t>Roadway Related, Vehicle Movements/Manner of Collision</t>
  </si>
  <si>
    <t>Part of Roadway No. 1 Involved, (Vehicle Movements/Manner
of Collision</t>
  </si>
  <si>
    <t>Object Struck</t>
  </si>
  <si>
    <t>Roadway Related,  Vehicle Movements/Manner of Collision</t>
  </si>
  <si>
    <t>Surface Condition</t>
  </si>
  <si>
    <t>Light Condition - Dark</t>
  </si>
  <si>
    <t>Roadway Related/Off road</t>
  </si>
  <si>
    <t>Intersection Related, Vehicle Movements/Manner of Collision</t>
  </si>
  <si>
    <t>Part of Roadway Involved, Vehicle Movements/Manner of Collision</t>
  </si>
  <si>
    <t>Vehicle Movements/Manner of Collision, Intersection Related</t>
  </si>
  <si>
    <t>Part of Roadway Involved</t>
  </si>
  <si>
    <t>Roadway Related, Vehicle Movements/Manner of Collision, Surface condition - wet, slush, ice, snow</t>
  </si>
  <si>
    <t>2030-2045 Demand Growth</t>
  </si>
  <si>
    <r>
      <t xml:space="preserve">Year Open to Traffic? </t>
    </r>
    <r>
      <rPr>
        <b/>
        <sz val="11"/>
        <color theme="1"/>
        <rFont val="Calibri"/>
        <family val="2"/>
        <scheme val="minor"/>
      </rPr>
      <t>(Must be &gt;=2025)</t>
    </r>
  </si>
  <si>
    <t>Vehicle Movements/Manner of Collision (Roadway related)</t>
  </si>
  <si>
    <t>Install Overhead Signs</t>
  </si>
  <si>
    <t xml:space="preserve">Install LED Flashing Chevrons (Curve) </t>
  </si>
  <si>
    <t>Install Chevrons</t>
  </si>
  <si>
    <t>Install Flashing Yellow Arrow</t>
  </si>
  <si>
    <t xml:space="preserve">Install Surface Mounted Delineators on Centerline </t>
  </si>
  <si>
    <t xml:space="preserve">Intersection Related, Vehicle Movements/Manner of
Collision, </t>
  </si>
  <si>
    <t xml:space="preserve">Roadway Related or Surface Condition </t>
  </si>
  <si>
    <t>High Friction Surface Treatment (Curve)</t>
  </si>
  <si>
    <t>High Friction Surface Treatment (Intersection)</t>
  </si>
  <si>
    <t>Provide Additional Paved Surface Width</t>
  </si>
  <si>
    <t>Milled Centerline Rumble Strips</t>
  </si>
  <si>
    <t>Profile Centerline Markings</t>
  </si>
  <si>
    <t>Construct a Roundabout</t>
  </si>
  <si>
    <t>Transverse Rumble Strips</t>
  </si>
  <si>
    <t>Raised Centerline Rumble Strips</t>
  </si>
  <si>
    <t>Value of Crash Savings ($000')</t>
  </si>
  <si>
    <t>Source: https://ftp.txdot.gov/pub/txdot-info/trf/hsip/hsip-guidance-june-2020.pdf</t>
  </si>
  <si>
    <t>Preventable Crash types (HSIP guidelines)</t>
  </si>
  <si>
    <t>INTERSECTION RELATED CRASHES</t>
  </si>
  <si>
    <t>Motorist Serious Injuries</t>
  </si>
  <si>
    <t>Motorist Non-Serious Injuries</t>
  </si>
  <si>
    <t>Motorist Possible Injuries</t>
  </si>
  <si>
    <t>Pedestrian Non-Serious Injuries</t>
  </si>
  <si>
    <t>Pedestrian Serious Injuries</t>
  </si>
  <si>
    <t>Pedestrian Possible Injuries</t>
  </si>
  <si>
    <t>Cyclist Serious Injuries</t>
  </si>
  <si>
    <t>Cyclist Non-Serious Injuries</t>
  </si>
  <si>
    <t>Cyclist possible Injuries</t>
  </si>
  <si>
    <t>Average Annual  Crashes</t>
  </si>
  <si>
    <t>Total Serious Injuries</t>
  </si>
  <si>
    <t>Total Non-Serious Injuries</t>
  </si>
  <si>
    <t>Total Possible Injuries</t>
  </si>
  <si>
    <t>KABCO Level</t>
  </si>
  <si>
    <t>No Injury</t>
  </si>
  <si>
    <t>Possible Injury</t>
  </si>
  <si>
    <t xml:space="preserve">Non-incapacitating (Non-Serious) </t>
  </si>
  <si>
    <t>Incapacitating (Serious)</t>
  </si>
  <si>
    <t>Killed (Fatality)</t>
  </si>
  <si>
    <t>0 - No Injury</t>
  </si>
  <si>
    <t>C -  Possible Injury</t>
  </si>
  <si>
    <t xml:space="preserve">A - Incapacitating (Serious) </t>
  </si>
  <si>
    <t>K - Killed (Fatal)</t>
  </si>
  <si>
    <t>Discounted Safety Benefits @ 7% (2021 $, '000s)</t>
  </si>
  <si>
    <t>Intersection Crashes (5 Years)</t>
  </si>
  <si>
    <t>Non-Intersection Related Crashes (5 Years)</t>
  </si>
  <si>
    <t>NON-INTERSECTION RELATED CRASHES</t>
  </si>
  <si>
    <t>Calculated based on data entered by sponsor</t>
  </si>
  <si>
    <t>*Preventable Crashes are those with defined characteristics that may be affected by the proposed improvement.</t>
  </si>
  <si>
    <t>HGAC regional crash data provided by HGAC upon request</t>
  </si>
  <si>
    <r>
      <t>B - Non</t>
    </r>
    <r>
      <rPr>
        <sz val="11"/>
        <color rgb="FFFF0000"/>
        <rFont val="Calibri"/>
        <family val="2"/>
        <scheme val="minor"/>
      </rPr>
      <t>-</t>
    </r>
    <r>
      <rPr>
        <sz val="11"/>
        <color theme="1"/>
        <rFont val="Calibri"/>
        <family val="2"/>
        <scheme val="minor"/>
      </rPr>
      <t>Incapacitating (Non-Serious)</t>
    </r>
  </si>
  <si>
    <t xml:space="preserve">Average  Annual  Crash Forecast without Improvement in Year Open to Traffic </t>
  </si>
  <si>
    <t xml:space="preserve">Average  Annual  Crash Forecast without improvement in Year Open to Traffic </t>
  </si>
  <si>
    <t>Estimated Crashes Without Improvement in Year Open to Traffic</t>
  </si>
  <si>
    <t>Non-Intersection related (Roadway Related)</t>
  </si>
  <si>
    <t>MPOID Number (RTP ID)/CSJ Number (TxDOT ID#):</t>
  </si>
  <si>
    <t>Application ID Number (Auto generated in CFP online form):</t>
  </si>
  <si>
    <t>Travel Demand</t>
  </si>
  <si>
    <t>Year Open to Traffic</t>
  </si>
  <si>
    <t xml:space="preserve">Estimated Daily VMT </t>
  </si>
  <si>
    <t xml:space="preserve">Annual VMT </t>
  </si>
  <si>
    <t>Estimated Traffic Volume</t>
  </si>
  <si>
    <t>Number of Days Considered in a Year</t>
  </si>
  <si>
    <t>All CRASHES</t>
  </si>
  <si>
    <t>All Crashes (5 Years)</t>
  </si>
  <si>
    <t>Harris</t>
  </si>
  <si>
    <t>Non-Freeway</t>
  </si>
  <si>
    <t>Highway Type</t>
  </si>
  <si>
    <t>County Name</t>
  </si>
  <si>
    <t>Brazoria</t>
  </si>
  <si>
    <t>Chambers</t>
  </si>
  <si>
    <t>Fort Bend</t>
  </si>
  <si>
    <t>Galveston</t>
  </si>
  <si>
    <t>Liberty</t>
  </si>
  <si>
    <t>Waller</t>
  </si>
  <si>
    <t>Freeway</t>
  </si>
  <si>
    <t>2021 Call For Projects - Benefit-Cost Analysis Assumptions*</t>
  </si>
  <si>
    <t>Montgomery</t>
  </si>
  <si>
    <t>Light Condition - Dark, Intersection Related</t>
  </si>
  <si>
    <t>Milled Edge line Rumble Strips</t>
  </si>
  <si>
    <t>Profile Edge line Markings</t>
  </si>
  <si>
    <t xml:space="preserve">Raised Edge line Rumble Strips </t>
  </si>
  <si>
    <t>Estimated traffic volume in year Open to Traffic</t>
  </si>
  <si>
    <t>2021-2030 Demand Growth</t>
  </si>
  <si>
    <t>Discounted Savings for service life</t>
  </si>
  <si>
    <t>OBJECTID</t>
  </si>
  <si>
    <t>Crash_ID</t>
  </si>
  <si>
    <t>HBM ID</t>
  </si>
  <si>
    <t>CRASH DATE</t>
  </si>
  <si>
    <t>HOUR</t>
  </si>
  <si>
    <t>DAY OF WEEK</t>
  </si>
  <si>
    <t>ROAD SYSTEM</t>
  </si>
  <si>
    <t>STREET NAME</t>
  </si>
  <si>
    <t>Direction</t>
  </si>
  <si>
    <t>LATITUDE</t>
  </si>
  <si>
    <t>LONGITUDE</t>
  </si>
  <si>
    <t>WEATHER</t>
  </si>
  <si>
    <t>LIGHTING</t>
  </si>
  <si>
    <t>TRAFFIC CONTROL</t>
  </si>
  <si>
    <t>FIRST HARMFUL EVENT</t>
  </si>
  <si>
    <t>CRASH SEVERITY</t>
  </si>
  <si>
    <t>INTERSECTION RELATED</t>
  </si>
  <si>
    <t>CRASH CONTRIBUTING FACTOR</t>
  </si>
  <si>
    <t>FATALITY</t>
  </si>
  <si>
    <t>SERIOUS INJURY</t>
  </si>
  <si>
    <t>NON-SERIOUS INJURY</t>
  </si>
  <si>
    <t>POSSIBLE INJURY</t>
  </si>
  <si>
    <t>TOTAL INJURY</t>
  </si>
  <si>
    <t>NO INJURY</t>
  </si>
  <si>
    <t>DIRECTION</t>
  </si>
  <si>
    <t>MOTORIST FATALITY</t>
  </si>
  <si>
    <t>MOTORIST SERIOUS INJURY</t>
  </si>
  <si>
    <t>MOTORIST NON-SERIOUS INJURY</t>
  </si>
  <si>
    <t>MOTORIST POSSIBLE INJURY</t>
  </si>
  <si>
    <t xml:space="preserve">MOTORIST NOT INJURED </t>
  </si>
  <si>
    <t>MOTORIST TOTAL INJURY</t>
  </si>
  <si>
    <t>MOTORIST UNKNOWN</t>
  </si>
  <si>
    <t>PEDESTRIAN FATALITY</t>
  </si>
  <si>
    <t>PEDESTRIAN SERIOUS INJURY</t>
  </si>
  <si>
    <t>PEDESTRIAN NON-SERIOUS INJURY</t>
  </si>
  <si>
    <t>PEDESTRAIN POSSIBLE INJURY</t>
  </si>
  <si>
    <t>PEDESTRIAN NOT INJURED</t>
  </si>
  <si>
    <t>PEDESTRIAN TOTAL INJURY</t>
  </si>
  <si>
    <t>PEDESTRIAN UNKNOWN</t>
  </si>
  <si>
    <t>CYCLIST FATALITY</t>
  </si>
  <si>
    <t>CYCLIST SERIOUS INJURY</t>
  </si>
  <si>
    <t>CYCLIST NON-SERIOUS INJURY</t>
  </si>
  <si>
    <t>CYCLIST POSSIBLE INJURY</t>
  </si>
  <si>
    <t>CYCLIST NOT INJURED</t>
  </si>
  <si>
    <t>CYCLIST TOTAL INJURY</t>
  </si>
  <si>
    <t>CYCLIST UNKNOWN</t>
  </si>
  <si>
    <t>COUNTY</t>
  </si>
  <si>
    <t>CO. COMMISSIONER PRECINCT</t>
  </si>
  <si>
    <t>PLACE</t>
  </si>
  <si>
    <t>CITY COUNCIL DISTRICT</t>
  </si>
  <si>
    <t>ZIP CODE</t>
  </si>
  <si>
    <t>TRACT</t>
  </si>
  <si>
    <t>In &amp; Unincorporated Area</t>
  </si>
  <si>
    <t>geo</t>
  </si>
  <si>
    <t>ID</t>
  </si>
  <si>
    <t>H3M_ID</t>
  </si>
  <si>
    <t>TUE</t>
  </si>
  <si>
    <t>LOCAL ROAD/STREET (STREET, ROAD, AVE., BLVD., PL.,</t>
  </si>
  <si>
    <t>WEST</t>
  </si>
  <si>
    <t>CLEAR</t>
  </si>
  <si>
    <t>DAYLIGHT</t>
  </si>
  <si>
    <t>MARKED LANES</t>
  </si>
  <si>
    <t>MOTOR VEHICLE IN TRANSPORT</t>
  </si>
  <si>
    <t>DRIVEWAY ACCESS</t>
  </si>
  <si>
    <t>FAILED TO YIELD RIGHT OF WAY - OPEN INTERSECTION</t>
  </si>
  <si>
    <t>Harris - 1</t>
  </si>
  <si>
    <t>Houston</t>
  </si>
  <si>
    <t>Incorporated</t>
  </si>
  <si>
    <t>y</t>
  </si>
  <si>
    <t>INTERSECTION</t>
  </si>
  <si>
    <t>NON INTERSECTION</t>
  </si>
  <si>
    <t xml:space="preserve">Intersection crashes </t>
  </si>
  <si>
    <t>Non-Intersection crashes</t>
  </si>
  <si>
    <t>Safety Improvement Type 1</t>
  </si>
  <si>
    <t>Safety Improvement Type 2</t>
  </si>
  <si>
    <t>Safety Improvement Type 3</t>
  </si>
  <si>
    <t>Estimated Preventable Crashes reduced  in Year Open to Traffic with Improvement Type 1</t>
  </si>
  <si>
    <t>Estimated Preventable Crashes Without Improvements Type 3  in Year Open to Traffic</t>
  </si>
  <si>
    <t>Estimated Preventable Crashes Without Improvements Types 2, and 3  in Year Open to Traffic</t>
  </si>
  <si>
    <t>Estimated Preventable Crashes Without Improvements Types 1, 2, and 3  in Year Open to Traffic</t>
  </si>
  <si>
    <t>Estimated Preventable Crashes reduced  in Year Open to Traffic with Improvement Type 2</t>
  </si>
  <si>
    <t>Estimated Preventable Crashes reduced  in Year Open to Traffic with Improvement Type 3</t>
  </si>
  <si>
    <t>Potential Crash Savings in Year Open to Traffic  with Improvement Type1</t>
  </si>
  <si>
    <t>Potential Crash Savings in Year Open to Traffic  with Improvement Type2</t>
  </si>
  <si>
    <t>Potential Crash Savings in Year Open to Traffic  with Improvement Type3</t>
  </si>
  <si>
    <t>Potential Total Crash Savings in Year Open to Traffic  with Improvements</t>
  </si>
  <si>
    <t>Potential Value of Crash Savings1</t>
  </si>
  <si>
    <t>Use in Analysis1</t>
  </si>
  <si>
    <t>Potential Value of Crash Savings2</t>
  </si>
  <si>
    <t>Use in Analysis2</t>
  </si>
  <si>
    <t>Years to include in BCA Analysis 1</t>
  </si>
  <si>
    <t>Total</t>
  </si>
  <si>
    <t>Total_auto</t>
  </si>
  <si>
    <t>Total_Bicycle</t>
  </si>
  <si>
    <t>Total_Walk</t>
  </si>
  <si>
    <t>P_auto</t>
  </si>
  <si>
    <t>P_Bicycle</t>
  </si>
  <si>
    <t>P_Walk</t>
  </si>
  <si>
    <t>Total_4mile</t>
  </si>
  <si>
    <t>Total_3mile</t>
  </si>
  <si>
    <t>Total_2mile</t>
  </si>
  <si>
    <t>Total_1mile</t>
  </si>
  <si>
    <t>Total_05mile</t>
  </si>
  <si>
    <t>Walk_Potential_Person</t>
  </si>
  <si>
    <t>bike_Potential_Person</t>
  </si>
  <si>
    <t>Walk_Mode_Shift_Person</t>
  </si>
  <si>
    <t>Bike_Mode_Shift_Person</t>
  </si>
  <si>
    <t>Walk_Potential_Trip</t>
  </si>
  <si>
    <t>bike_Potential_Trip</t>
  </si>
  <si>
    <t>Walk_Mode_Shift_Trip</t>
  </si>
  <si>
    <t>Bike_Mode_Shift_Trip</t>
  </si>
  <si>
    <t>Walk_VMT_Reduction</t>
  </si>
  <si>
    <t>Bike_VMT_Reduction</t>
  </si>
  <si>
    <t>Total_VMT_Reduction</t>
  </si>
  <si>
    <t>Shape_Length</t>
  </si>
  <si>
    <t>Shape_Area</t>
  </si>
  <si>
    <t>Potential Daily Walk/Bike Commuters in Year Open to Traffic</t>
  </si>
  <si>
    <t>Potential Daily Walk/Bike Commuters</t>
  </si>
  <si>
    <t>Years to include in BCA Analysis 2</t>
  </si>
  <si>
    <t>Years to include in BCA Analysis 3</t>
  </si>
  <si>
    <t>Growth Rate</t>
  </si>
  <si>
    <t>2023-2030</t>
  </si>
  <si>
    <t>2030-2045</t>
  </si>
  <si>
    <t>Potential Value of Crash Savings3</t>
  </si>
  <si>
    <t>Use in Analysis3</t>
  </si>
  <si>
    <t>Bike/Ped Improvement Type</t>
  </si>
  <si>
    <t>Ped/Bike rate based on potential 1 million ped/bike commuters*</t>
  </si>
  <si>
    <t>Total Bike/Ped Fatalities</t>
  </si>
  <si>
    <t>Total Bike/Ped Non-Serious Injuries</t>
  </si>
  <si>
    <t>Total Bike/Ped Serious Injuries</t>
  </si>
  <si>
    <t>Total Bike/Ped Possible Injuries</t>
  </si>
  <si>
    <t>Na</t>
  </si>
  <si>
    <t>Estimated Preventable Bike/Ped Crashes reduced  in Year Open to Traffic with Improvement Type 3</t>
  </si>
  <si>
    <t>Estimated Preventable Bike/Ped Crashes Without Bike/Ped Improvements in Year Open to Traffic</t>
  </si>
  <si>
    <t>Potential Crash Savings in Year Open to Traffic  with Bike/Ped Improvements</t>
  </si>
  <si>
    <t>Use in B/P Analysis</t>
  </si>
  <si>
    <t>Potential Value of B/P Crash Savings</t>
  </si>
  <si>
    <t xml:space="preserve">Years to include in B/P Analysis </t>
  </si>
  <si>
    <t>Growth Rates</t>
  </si>
  <si>
    <t>https://www.transportation.gov/sites/dot.gov/files/2023-01/Benefit%20Cost%20Analysis%20Guidance%202023%20Update.pdf</t>
  </si>
  <si>
    <t>CMV</t>
  </si>
  <si>
    <t>TRANSIT</t>
  </si>
  <si>
    <t>SCHOOLBUS</t>
  </si>
  <si>
    <t>WED</t>
  </si>
  <si>
    <t>FAILED TO CONTROL SPEED</t>
  </si>
  <si>
    <t>No</t>
  </si>
  <si>
    <t>SUN</t>
  </si>
  <si>
    <t>SOUTHWEST</t>
  </si>
  <si>
    <t>NON-INCAPACITATING INJURY</t>
  </si>
  <si>
    <t>SOUTH</t>
  </si>
  <si>
    <t>FAILED TO YIELD RIGHT OF WAY - PRIVATE DRIVE</t>
  </si>
  <si>
    <t>NORTHWEST</t>
  </si>
  <si>
    <t>NOT INJURED</t>
  </si>
  <si>
    <t>BACKED WITHOUT SAFETY</t>
  </si>
  <si>
    <t>CHANGED LANE WHEN UNSAFE</t>
  </si>
  <si>
    <t>MON</t>
  </si>
  <si>
    <t>FRI</t>
  </si>
  <si>
    <t>EAST</t>
  </si>
  <si>
    <t>CLOUDY</t>
  </si>
  <si>
    <t>CENTER STRIPE/DIVIDER</t>
  </si>
  <si>
    <t>NONE</t>
  </si>
  <si>
    <t>NORTHEAST</t>
  </si>
  <si>
    <t>DARK, NOT LIGHTED</t>
  </si>
  <si>
    <t>THU</t>
  </si>
  <si>
    <t>FAILED TO DRIVE IN SINGLE LANE</t>
  </si>
  <si>
    <t>UNKNOW</t>
  </si>
  <si>
    <t>UNKNOWN</t>
  </si>
  <si>
    <t>SIGNAL LIGHT</t>
  </si>
  <si>
    <t>RAIN</t>
  </si>
  <si>
    <t>DARK, LIGHTED</t>
  </si>
  <si>
    <t>FAILED TO YIELD RIGHT OF WAY - TURN ON RED</t>
  </si>
  <si>
    <t>DISREGARD STOP AND GO SIGNAL</t>
  </si>
  <si>
    <t>DRIVER INATTENTION</t>
  </si>
  <si>
    <t>DISTRACTION IN VEHICLE</t>
  </si>
  <si>
    <t>SAT</t>
  </si>
  <si>
    <t>NORTH</t>
  </si>
  <si>
    <t>OTHER (EXPLAIN IN NARRATIVE)</t>
  </si>
  <si>
    <t>DISREGARD STOP SIGN OR LIGHT</t>
  </si>
  <si>
    <t>DUSK</t>
  </si>
  <si>
    <t>INCAPACITATING INJURY</t>
  </si>
  <si>
    <t>PASSED IN NO PASSING LANE</t>
  </si>
  <si>
    <t>PASSED ON RIGHT SHOULDER</t>
  </si>
  <si>
    <t>SIGNAL LIGHT WITH RED LIGHT RUNNING CAMERA</t>
  </si>
  <si>
    <t>FIXED OBJECT</t>
  </si>
  <si>
    <t>SOUTHEAST</t>
  </si>
  <si>
    <t>FAILED TO YIELD RIGHT OF WAY - TURNING LEFT</t>
  </si>
  <si>
    <t>STOP SIGN</t>
  </si>
  <si>
    <t>Blank</t>
  </si>
  <si>
    <t>2021 AADT</t>
  </si>
  <si>
    <t>AADT in Year Open to Traffic</t>
  </si>
  <si>
    <t>Construct Paved Shoulders (&gt; 5ft)</t>
  </si>
  <si>
    <t>TELEPHONE RD</t>
  </si>
  <si>
    <t>NOT APPLICABLE</t>
  </si>
  <si>
    <t>SEVERE CROSSWINDS</t>
  </si>
  <si>
    <t>PEDESTRIAN</t>
  </si>
  <si>
    <t>Harris - 2</t>
  </si>
  <si>
    <t>Houston - District I</t>
  </si>
  <si>
    <t>KILLED</t>
  </si>
  <si>
    <t>PEDESTRIAN FAILED TO YIELD RIGHT OF WAY TO VEHICLE</t>
  </si>
  <si>
    <t>EL RANCHO ST</t>
  </si>
  <si>
    <t>PARKED CAR</t>
  </si>
  <si>
    <t>UNSAFE SPEED</t>
  </si>
  <si>
    <t>LONG DR</t>
  </si>
  <si>
    <t>DARK, UNKNOWN LIGHTING</t>
  </si>
  <si>
    <t>SOUTHWAY DR</t>
  </si>
  <si>
    <t>FAIRWAY DR</t>
  </si>
  <si>
    <t>TURNED WHEN UNSAFE</t>
  </si>
  <si>
    <t>PARK PLACE BLVD</t>
  </si>
  <si>
    <t>CMV Caused</t>
  </si>
  <si>
    <t>FAULTY EVASIVE ACTION</t>
  </si>
  <si>
    <t>FAILED TO YIELD RIGHT OF WAY - STOP SIGN</t>
  </si>
  <si>
    <t>SH0035</t>
  </si>
  <si>
    <t>WRONG SIDE - APPROACH OR INTERSECTION</t>
  </si>
  <si>
    <t>WESTOVER ST</t>
  </si>
  <si>
    <t>OVERTURNED</t>
  </si>
  <si>
    <t>FAILED TO YIELD RIGHT OF WAY - TO PEDESTRIAN</t>
  </si>
  <si>
    <t>ILL (EXPLAIN IN NARRATIVE)</t>
  </si>
  <si>
    <t>LA PASEO ST</t>
  </si>
  <si>
    <t>TURNED IMPROPERLY - CUT CORNER ON LEFT</t>
  </si>
  <si>
    <t>HAD BEEN DRINKING</t>
  </si>
  <si>
    <t>DIXIE DR</t>
  </si>
  <si>
    <t>COUNTY ROAD</t>
  </si>
  <si>
    <t>S LOOP FWY E</t>
  </si>
  <si>
    <t>FAILED TO YIELD RIGHT OF WAY - YIELD SIGN</t>
  </si>
  <si>
    <t>CMV Involved</t>
  </si>
  <si>
    <t>UNDER INFLUENCE - ALCOHOL</t>
  </si>
  <si>
    <t>MOLINE ST</t>
  </si>
  <si>
    <t>TOLL ROAD</t>
  </si>
  <si>
    <t>BRIEFWAY ST</t>
  </si>
  <si>
    <t>RECREATIONAL ROAD</t>
  </si>
  <si>
    <t>PRIVATE ROAD</t>
  </si>
  <si>
    <t>HEREFORD ST</t>
  </si>
  <si>
    <t>GOLFWAY ST</t>
  </si>
  <si>
    <t>OTHER OBJECT</t>
  </si>
  <si>
    <t>WOODRIDGE DR</t>
  </si>
  <si>
    <t>FAILED TO STOP AT PROPER PLACE</t>
  </si>
  <si>
    <t>PEDALCYCLIST</t>
  </si>
  <si>
    <t>CROSSWALK</t>
  </si>
  <si>
    <t>FLASHING RED LIGHT</t>
  </si>
  <si>
    <t>MCHENRY ST</t>
  </si>
  <si>
    <t>Transit Involved</t>
  </si>
  <si>
    <t>STANWICK DR</t>
  </si>
  <si>
    <t>JOPLIN ST</t>
  </si>
  <si>
    <t>TURNED IMPROPERLY - WIDE RIGHT</t>
  </si>
  <si>
    <t>VISTA VERDE ST</t>
  </si>
  <si>
    <t xml:space="preserve">Crash Rate per 100 million VMT </t>
  </si>
  <si>
    <t>Crash Rate per 1 million VMT (Ped/Bike rate based on potential ped/bike commuters*)</t>
  </si>
  <si>
    <t xml:space="preserve">Roadway Related, Vehicle Movements/Manner of Collision </t>
  </si>
  <si>
    <t xml:space="preserve">2022 Traffic Volume </t>
  </si>
  <si>
    <t>2022 Potential Daily Walk/Bile Commuters</t>
  </si>
  <si>
    <t>2019 -2023 Crash Data</t>
  </si>
  <si>
    <t>Monetized value ($2022)</t>
  </si>
  <si>
    <t>Savings Discounted @ 3.1% ($ 000')</t>
  </si>
  <si>
    <t>Value of Statistical Life (VSL), 2022 $</t>
  </si>
  <si>
    <t>Value of Injuries, US DOT BCA Guidance for Discretionary Grant Programs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</si>
</sst>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0.000"/>
    <numFmt numFmtId="167" formatCode="0.000000"/>
    <numFmt numFmtId="168" formatCode="#,##0.000000"/>
    <numFmt numFmtId="169" formatCode="0.0%"/>
    <numFmt numFmtId="170" formatCode="0.000%"/>
    <numFmt numFmtId="171" formatCode="0.00000"/>
    <numFmt numFmtId="172" formatCode="0.0"/>
    <numFmt numFmtId="173" formatCode="0.0000"/>
    <numFmt numFmtId="174" formatCode="#,##0.0000"/>
    <numFmt numFmtId="175" formatCode="#,##0.000"/>
    <numFmt numFmtId="176" formatCode="#,##0.00000"/>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u/>
      <sz val="11"/>
      <color theme="1"/>
      <name val="Calibri"/>
      <family val="2"/>
      <scheme val="minor"/>
    </font>
    <font>
      <b/>
      <u/>
      <sz val="11"/>
      <color theme="1"/>
      <name val="Calibri"/>
      <family val="2"/>
      <scheme val="minor"/>
    </font>
    <font>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
      <sz val="11"/>
      <color theme="0"/>
      <name val="Calibri"/>
      <family val="2"/>
      <scheme val="minor"/>
    </font>
    <font>
      <sz val="12"/>
      <color theme="1"/>
      <name val="Times New Roman"/>
      <family val="1"/>
    </font>
    <font>
      <sz val="10"/>
      <color rgb="FF000000"/>
      <name val="Arial"/>
      <family val="2"/>
    </font>
    <font>
      <b/>
      <sz val="11"/>
      <name val="Calibri"/>
      <family val="2"/>
      <scheme val="minor"/>
    </font>
    <font>
      <sz val="11"/>
      <color rgb="FF0070C0"/>
      <name val="Calibri"/>
      <family val="2"/>
      <scheme val="minor"/>
    </font>
    <font>
      <sz val="11"/>
      <color rgb="FFFF0000"/>
      <name val="Calibri"/>
      <family val="2"/>
      <scheme val="minor"/>
    </font>
    <font>
      <sz val="12"/>
      <name val="Times New Roman"/>
      <family val="1"/>
    </font>
    <font>
      <b/>
      <sz val="20"/>
      <color rgb="FFFF0000"/>
      <name val="Calibri"/>
      <family val="2"/>
      <scheme val="minor"/>
    </font>
    <font>
      <b/>
      <sz val="11"/>
      <color rgb="FFFF000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alignment vertical="top"/>
      <protection locked="0"/>
    </xf>
    <xf numFmtId="0" fontId="15" fillId="0" borderId="0"/>
  </cellStyleXfs>
  <cellXfs count="248">
    <xf numFmtId="0" fontId="0" fillId="0" borderId="0" xfId="0"/>
    <xf numFmtId="0" fontId="3" fillId="0" borderId="0" xfId="0" applyFont="1"/>
    <xf numFmtId="0" fontId="4" fillId="0" borderId="0" xfId="0" applyFont="1"/>
    <xf numFmtId="0" fontId="0" fillId="2" borderId="1" xfId="0" applyFill="1" applyBorder="1"/>
    <xf numFmtId="0" fontId="0" fillId="2" borderId="1" xfId="0" applyFill="1" applyBorder="1" applyProtection="1">
      <protection locked="0"/>
    </xf>
    <xf numFmtId="0" fontId="2" fillId="3" borderId="1" xfId="0" applyFont="1" applyFill="1" applyBorder="1"/>
    <xf numFmtId="0" fontId="8"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ill="1" applyBorder="1" applyAlignment="1">
      <alignment horizontal="center"/>
    </xf>
    <xf numFmtId="0" fontId="0" fillId="8" borderId="1" xfId="0"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ill="1" applyBorder="1" applyAlignment="1" applyProtection="1">
      <alignment horizontal="center"/>
      <protection locked="0"/>
    </xf>
    <xf numFmtId="165" fontId="0" fillId="2" borderId="1" xfId="0" applyNumberFormat="1" applyFill="1" applyBorder="1" applyProtection="1">
      <protection locked="0"/>
    </xf>
    <xf numFmtId="0" fontId="8" fillId="9" borderId="1" xfId="0" applyFont="1" applyFill="1" applyBorder="1" applyAlignment="1">
      <alignment horizontal="center"/>
    </xf>
    <xf numFmtId="0" fontId="0" fillId="0" borderId="0" xfId="0" applyAlignment="1">
      <alignment vertical="top"/>
    </xf>
    <xf numFmtId="9" fontId="0" fillId="0" borderId="0" xfId="0" applyNumberFormat="1"/>
    <xf numFmtId="0" fontId="0" fillId="0" borderId="1" xfId="0" applyBorder="1" applyAlignment="1">
      <alignment vertical="top"/>
    </xf>
    <xf numFmtId="167" fontId="0" fillId="0" borderId="1" xfId="0" applyNumberFormat="1" applyBorder="1" applyAlignment="1">
      <alignment vertical="top"/>
    </xf>
    <xf numFmtId="164" fontId="0" fillId="0" borderId="1" xfId="0" applyNumberFormat="1" applyBorder="1" applyAlignment="1">
      <alignment vertical="top"/>
    </xf>
    <xf numFmtId="168" fontId="0" fillId="11" borderId="3" xfId="0" applyNumberFormat="1" applyFill="1" applyBorder="1"/>
    <xf numFmtId="164" fontId="0" fillId="6" borderId="1" xfId="1" applyNumberFormat="1" applyFont="1" applyFill="1" applyBorder="1" applyAlignment="1">
      <alignment horizontal="center"/>
    </xf>
    <xf numFmtId="165" fontId="0" fillId="11" borderId="1" xfId="0" applyNumberFormat="1" applyFill="1" applyBorder="1"/>
    <xf numFmtId="164" fontId="0" fillId="6" borderId="1" xfId="1" applyNumberFormat="1" applyFont="1" applyFill="1" applyBorder="1" applyAlignment="1" applyProtection="1">
      <alignment horizontal="center"/>
    </xf>
    <xf numFmtId="167" fontId="0" fillId="12" borderId="1" xfId="0" applyNumberFormat="1" applyFill="1" applyBorder="1" applyAlignment="1" applyProtection="1">
      <alignment horizontal="center"/>
      <protection locked="0"/>
    </xf>
    <xf numFmtId="164" fontId="0" fillId="7" borderId="1" xfId="1"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1" applyNumberFormat="1" applyFont="1" applyFill="1" applyBorder="1" applyAlignment="1">
      <alignment horizontal="center"/>
    </xf>
    <xf numFmtId="165" fontId="0" fillId="4" borderId="1" xfId="0" applyNumberFormat="1" applyFill="1" applyBorder="1"/>
    <xf numFmtId="167" fontId="0" fillId="11" borderId="1" xfId="0" applyNumberFormat="1" applyFill="1" applyBorder="1" applyProtection="1">
      <protection locked="0"/>
    </xf>
    <xf numFmtId="4" fontId="0" fillId="2" borderId="1" xfId="0" applyNumberFormat="1" applyFill="1" applyBorder="1" applyProtection="1">
      <protection locked="0"/>
    </xf>
    <xf numFmtId="9" fontId="0" fillId="0" borderId="1" xfId="0" applyNumberFormat="1" applyBorder="1" applyAlignment="1">
      <alignment horizontal="right" vertical="top"/>
    </xf>
    <xf numFmtId="0" fontId="0" fillId="0" borderId="1" xfId="0" applyBorder="1"/>
    <xf numFmtId="169" fontId="0" fillId="0" borderId="1" xfId="2" applyNumberFormat="1" applyFont="1" applyFill="1" applyBorder="1"/>
    <xf numFmtId="0" fontId="9" fillId="0" borderId="1" xfId="3" applyBorder="1" applyAlignment="1" applyProtection="1">
      <alignment horizontal="right" vertical="top" wrapText="1"/>
    </xf>
    <xf numFmtId="6" fontId="0" fillId="0" borderId="1" xfId="0" applyNumberFormat="1" applyBorder="1" applyAlignment="1">
      <alignment vertical="top"/>
    </xf>
    <xf numFmtId="8" fontId="0" fillId="0" borderId="0" xfId="0" applyNumberFormat="1"/>
    <xf numFmtId="6" fontId="0" fillId="0" borderId="0" xfId="0" applyNumberFormat="1"/>
    <xf numFmtId="0" fontId="0" fillId="0" borderId="1" xfId="0" applyBorder="1" applyAlignment="1">
      <alignment vertical="center"/>
    </xf>
    <xf numFmtId="0" fontId="0" fillId="0" borderId="1" xfId="0" applyBorder="1" applyAlignment="1">
      <alignment vertical="center" wrapText="1"/>
    </xf>
    <xf numFmtId="9" fontId="7" fillId="0" borderId="0" xfId="0" applyNumberFormat="1" applyFont="1" applyAlignment="1">
      <alignment horizontal="right" vertical="top"/>
    </xf>
    <xf numFmtId="10" fontId="7" fillId="0" borderId="0" xfId="0" applyNumberFormat="1" applyFont="1" applyAlignment="1">
      <alignment horizontal="right" vertical="top"/>
    </xf>
    <xf numFmtId="10" fontId="0" fillId="0" borderId="0" xfId="0" applyNumberFormat="1"/>
    <xf numFmtId="172" fontId="0" fillId="0" borderId="0" xfId="0" applyNumberFormat="1"/>
    <xf numFmtId="0" fontId="0" fillId="0" borderId="1" xfId="0" applyBorder="1" applyAlignment="1">
      <alignment horizontal="center" vertical="center"/>
    </xf>
    <xf numFmtId="0" fontId="0" fillId="0" borderId="1" xfId="0" applyBorder="1" applyAlignment="1">
      <alignment wrapText="1"/>
    </xf>
    <xf numFmtId="170" fontId="0" fillId="0" borderId="0" xfId="2" applyNumberFormat="1" applyFont="1" applyBorder="1"/>
    <xf numFmtId="170" fontId="0" fillId="0" borderId="0" xfId="0" applyNumberFormat="1"/>
    <xf numFmtId="170" fontId="4" fillId="0" borderId="0" xfId="0" applyNumberFormat="1" applyFont="1"/>
    <xf numFmtId="0" fontId="3" fillId="0" borderId="1" xfId="0" applyFont="1" applyBorder="1" applyAlignment="1">
      <alignment vertical="center"/>
    </xf>
    <xf numFmtId="6" fontId="0" fillId="0" borderId="1" xfId="0" applyNumberFormat="1" applyBorder="1" applyAlignment="1">
      <alignment vertical="center"/>
    </xf>
    <xf numFmtId="0" fontId="4" fillId="0" borderId="0" xfId="0" applyFont="1" applyAlignment="1">
      <alignment horizontal="center"/>
    </xf>
    <xf numFmtId="3" fontId="0" fillId="0" borderId="0" xfId="0" applyNumberFormat="1"/>
    <xf numFmtId="0" fontId="3" fillId="10" borderId="1" xfId="0" applyFont="1" applyFill="1" applyBorder="1"/>
    <xf numFmtId="14" fontId="0" fillId="0" borderId="0" xfId="0" applyNumberFormat="1"/>
    <xf numFmtId="10" fontId="0" fillId="0" borderId="1" xfId="0" applyNumberFormat="1" applyBorder="1" applyAlignment="1">
      <alignment horizontal="center"/>
    </xf>
    <xf numFmtId="10" fontId="0" fillId="0" borderId="1" xfId="0" applyNumberFormat="1" applyBorder="1"/>
    <xf numFmtId="0" fontId="0" fillId="0" borderId="0" xfId="0" applyFill="1" applyBorder="1" applyAlignment="1" applyProtection="1">
      <alignment horizontal="center" vertical="center"/>
      <protection locked="0"/>
    </xf>
    <xf numFmtId="2" fontId="0" fillId="0" borderId="0" xfId="0" applyNumberFormat="1" applyFill="1" applyBorder="1" applyAlignment="1" applyProtection="1">
      <alignment horizontal="center" vertical="center"/>
      <protection locked="0"/>
    </xf>
    <xf numFmtId="166" fontId="0" fillId="0" borderId="0" xfId="0" applyNumberFormat="1" applyFill="1" applyBorder="1" applyAlignment="1" applyProtection="1">
      <alignment horizontal="center" vertical="center"/>
      <protection locked="0"/>
    </xf>
    <xf numFmtId="0" fontId="0" fillId="14" borderId="1" xfId="0" applyFill="1" applyBorder="1" applyAlignment="1" applyProtection="1">
      <alignment horizontal="center" vertical="center"/>
    </xf>
    <xf numFmtId="0" fontId="0" fillId="0" borderId="1" xfId="0" applyBorder="1" applyProtection="1"/>
    <xf numFmtId="0" fontId="0" fillId="0" borderId="1" xfId="0" applyBorder="1"/>
    <xf numFmtId="165" fontId="0" fillId="4" borderId="1" xfId="0" applyNumberFormat="1" applyFill="1" applyBorder="1" applyAlignment="1" applyProtection="1">
      <alignment vertical="center"/>
    </xf>
    <xf numFmtId="2" fontId="0" fillId="13" borderId="1" xfId="0" applyNumberFormat="1" applyFill="1" applyBorder="1" applyAlignment="1" applyProtection="1">
      <alignment horizontal="center" vertical="center"/>
    </xf>
    <xf numFmtId="166" fontId="0" fillId="13" borderId="1" xfId="0" applyNumberFormat="1" applyFill="1" applyBorder="1" applyAlignment="1" applyProtection="1">
      <alignment horizontal="center" vertical="center"/>
    </xf>
    <xf numFmtId="166" fontId="0" fillId="13" borderId="1" xfId="0" applyNumberFormat="1" applyFill="1" applyBorder="1" applyAlignment="1" applyProtection="1">
      <alignment vertical="center"/>
    </xf>
    <xf numFmtId="166" fontId="0" fillId="0" borderId="1" xfId="0" applyNumberFormat="1" applyFill="1" applyBorder="1" applyAlignment="1" applyProtection="1">
      <alignment vertical="center"/>
    </xf>
    <xf numFmtId="0" fontId="0" fillId="0" borderId="1" xfId="0" applyBorder="1" applyAlignment="1" applyProtection="1">
      <alignment vertical="center"/>
    </xf>
    <xf numFmtId="0" fontId="0" fillId="0" borderId="0" xfId="0" applyProtection="1"/>
    <xf numFmtId="0" fontId="0" fillId="0" borderId="0" xfId="0" applyAlignment="1" applyProtection="1">
      <alignment vertical="center"/>
    </xf>
    <xf numFmtId="0" fontId="0" fillId="0" borderId="1" xfId="0" applyBorder="1" applyAlignment="1" applyProtection="1">
      <alignment vertical="center" wrapText="1"/>
    </xf>
    <xf numFmtId="0" fontId="12" fillId="0" borderId="1" xfId="0" applyFont="1" applyBorder="1" applyAlignment="1" applyProtection="1">
      <alignment vertical="center" wrapText="1"/>
    </xf>
    <xf numFmtId="0" fontId="12" fillId="0" borderId="0" xfId="0" applyFont="1" applyProtection="1"/>
    <xf numFmtId="0" fontId="0" fillId="0" borderId="0" xfId="0" applyProtection="1">
      <protection locked="0"/>
    </xf>
    <xf numFmtId="0" fontId="16" fillId="0" borderId="1" xfId="0" applyFont="1" applyBorder="1" applyAlignment="1" applyProtection="1">
      <alignment vertical="center" wrapText="1"/>
      <protection locked="0"/>
    </xf>
    <xf numFmtId="166" fontId="0" fillId="0" borderId="1" xfId="0" applyNumberFormat="1" applyBorder="1" applyAlignment="1" applyProtection="1">
      <alignment vertical="center" wrapText="1"/>
      <protection locked="0"/>
    </xf>
    <xf numFmtId="0" fontId="12" fillId="0" borderId="0" xfId="0" applyFont="1" applyProtection="1">
      <protection locked="0"/>
    </xf>
    <xf numFmtId="166" fontId="0" fillId="0" borderId="1" xfId="0" applyNumberFormat="1" applyBorder="1" applyProtection="1">
      <protection locked="0"/>
    </xf>
    <xf numFmtId="10" fontId="0" fillId="0" borderId="0" xfId="2" applyNumberFormat="1" applyFont="1" applyProtection="1">
      <protection locked="0"/>
    </xf>
    <xf numFmtId="2" fontId="0" fillId="0" borderId="0" xfId="0" applyNumberFormat="1" applyProtection="1">
      <protection locked="0"/>
    </xf>
    <xf numFmtId="165" fontId="12" fillId="0" borderId="1" xfId="0" applyNumberFormat="1" applyFont="1" applyBorder="1" applyAlignment="1" applyProtection="1">
      <alignment vertical="center" wrapText="1"/>
      <protection locked="0"/>
    </xf>
    <xf numFmtId="165" fontId="0" fillId="0" borderId="0" xfId="0" applyNumberFormat="1" applyProtection="1">
      <protection locked="0"/>
    </xf>
    <xf numFmtId="165" fontId="0" fillId="0" borderId="1" xfId="0" applyNumberFormat="1" applyBorder="1" applyProtection="1">
      <protection locked="0"/>
    </xf>
    <xf numFmtId="0" fontId="0" fillId="13" borderId="1" xfId="0" applyFill="1" applyBorder="1" applyAlignment="1" applyProtection="1">
      <alignment vertical="center"/>
    </xf>
    <xf numFmtId="2" fontId="0" fillId="0" borderId="0" xfId="0" applyNumberFormat="1" applyAlignment="1" applyProtection="1">
      <alignment vertical="center"/>
      <protection locked="0"/>
    </xf>
    <xf numFmtId="2" fontId="17" fillId="0" borderId="0" xfId="0" applyNumberFormat="1" applyFont="1" applyAlignment="1" applyProtection="1">
      <alignment vertical="center"/>
      <protection locked="0"/>
    </xf>
    <xf numFmtId="0" fontId="13" fillId="0" borderId="0" xfId="0" applyFont="1" applyProtection="1">
      <protection locked="0"/>
    </xf>
    <xf numFmtId="0" fontId="0" fillId="0" borderId="0" xfId="0" applyFill="1" applyProtection="1">
      <protection locked="0"/>
    </xf>
    <xf numFmtId="0" fontId="0" fillId="0" borderId="0" xfId="0" applyFill="1" applyBorder="1" applyProtection="1">
      <protection locked="0"/>
    </xf>
    <xf numFmtId="166" fontId="0" fillId="0" borderId="0" xfId="0" applyNumberFormat="1" applyFill="1" applyBorder="1" applyProtection="1">
      <protection locked="0"/>
    </xf>
    <xf numFmtId="0" fontId="0" fillId="14" borderId="1" xfId="0" applyFill="1" applyBorder="1" applyAlignment="1" applyProtection="1">
      <alignment horizontal="left" vertical="center"/>
    </xf>
    <xf numFmtId="0" fontId="13" fillId="0" borderId="0" xfId="0" applyFont="1" applyProtection="1"/>
    <xf numFmtId="0" fontId="2" fillId="3" borderId="1" xfId="0" applyFont="1" applyFill="1" applyBorder="1" applyAlignment="1" applyProtection="1">
      <alignment vertical="center" wrapText="1"/>
    </xf>
    <xf numFmtId="0" fontId="2" fillId="3" borderId="1" xfId="0" applyFont="1" applyFill="1" applyBorder="1" applyAlignment="1" applyProtection="1">
      <alignment horizontal="left" vertical="center" wrapText="1"/>
    </xf>
    <xf numFmtId="176" fontId="12" fillId="0" borderId="0" xfId="0" applyNumberFormat="1" applyFont="1" applyProtection="1"/>
    <xf numFmtId="0" fontId="12" fillId="0" borderId="0" xfId="0" applyFont="1" applyAlignment="1" applyProtection="1">
      <alignment vertical="center"/>
    </xf>
    <xf numFmtId="1" fontId="12" fillId="0" borderId="0" xfId="0" applyNumberFormat="1" applyFont="1" applyProtection="1"/>
    <xf numFmtId="174" fontId="12" fillId="0" borderId="0" xfId="0" applyNumberFormat="1" applyFont="1" applyProtection="1"/>
    <xf numFmtId="3" fontId="12" fillId="0" borderId="0" xfId="0" applyNumberFormat="1" applyFont="1" applyProtection="1"/>
    <xf numFmtId="2" fontId="12" fillId="0" borderId="0" xfId="0" applyNumberFormat="1" applyFont="1" applyAlignment="1" applyProtection="1">
      <alignment vertical="center"/>
    </xf>
    <xf numFmtId="166" fontId="12" fillId="0" borderId="0" xfId="0" applyNumberFormat="1" applyFont="1" applyProtection="1"/>
    <xf numFmtId="0" fontId="0" fillId="0" borderId="0" xfId="0" applyFill="1" applyProtection="1"/>
    <xf numFmtId="0" fontId="2" fillId="0" borderId="1" xfId="0" applyFont="1" applyFill="1" applyBorder="1" applyAlignment="1" applyProtection="1">
      <alignment vertical="center" wrapText="1"/>
    </xf>
    <xf numFmtId="0" fontId="12" fillId="0" borderId="0" xfId="0" applyFont="1" applyFill="1" applyProtection="1"/>
    <xf numFmtId="3" fontId="0" fillId="0" borderId="0" xfId="0" applyNumberFormat="1" applyProtection="1"/>
    <xf numFmtId="175" fontId="0" fillId="0" borderId="0" xfId="0" applyNumberFormat="1" applyProtection="1"/>
    <xf numFmtId="166" fontId="0" fillId="0" borderId="0" xfId="0" applyNumberFormat="1" applyProtection="1"/>
    <xf numFmtId="0" fontId="3" fillId="10" borderId="1" xfId="0" applyFont="1" applyFill="1" applyBorder="1" applyAlignment="1" applyProtection="1">
      <alignment vertical="center"/>
    </xf>
    <xf numFmtId="0" fontId="16" fillId="10" borderId="1" xfId="0" applyFont="1" applyFill="1" applyBorder="1" applyAlignment="1" applyProtection="1">
      <alignment vertical="center"/>
    </xf>
    <xf numFmtId="0" fontId="3" fillId="10" borderId="1" xfId="0" applyFont="1" applyFill="1" applyBorder="1" applyAlignment="1" applyProtection="1">
      <alignment vertical="center" wrapText="1"/>
    </xf>
    <xf numFmtId="0" fontId="0" fillId="0" borderId="1" xfId="0" applyFill="1" applyBorder="1" applyAlignment="1" applyProtection="1">
      <alignment vertical="center"/>
    </xf>
    <xf numFmtId="0" fontId="0" fillId="0" borderId="1" xfId="0" applyFill="1" applyBorder="1" applyAlignment="1" applyProtection="1">
      <alignment horizontal="center" vertical="center"/>
    </xf>
    <xf numFmtId="9" fontId="0" fillId="0" borderId="1" xfId="0" applyNumberFormat="1" applyFill="1" applyBorder="1" applyAlignment="1" applyProtection="1">
      <alignment horizontal="center" vertical="center"/>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9" fontId="0" fillId="0" borderId="1" xfId="0" applyNumberFormat="1" applyBorder="1" applyAlignment="1" applyProtection="1">
      <alignment horizontal="center" vertical="center" wrapText="1"/>
    </xf>
    <xf numFmtId="0" fontId="12" fillId="0" borderId="1" xfId="0" applyFont="1" applyBorder="1" applyAlignment="1" applyProtection="1">
      <alignment vertical="center"/>
    </xf>
    <xf numFmtId="0" fontId="3" fillId="10" borderId="1" xfId="0" applyFont="1" applyFill="1" applyBorder="1" applyAlignment="1" applyProtection="1">
      <alignment horizontal="center" vertical="center"/>
    </xf>
    <xf numFmtId="0" fontId="0" fillId="0" borderId="0" xfId="0" applyBorder="1"/>
    <xf numFmtId="10" fontId="0" fillId="0" borderId="0" xfId="0" applyNumberFormat="1" applyBorder="1" applyAlignment="1">
      <alignment horizontal="center"/>
    </xf>
    <xf numFmtId="10" fontId="0" fillId="0" borderId="0" xfId="0" applyNumberFormat="1" applyBorder="1"/>
    <xf numFmtId="2" fontId="11" fillId="0" borderId="4" xfId="0" applyNumberFormat="1" applyFont="1" applyBorder="1" applyAlignment="1" applyProtection="1">
      <alignment vertical="center"/>
      <protection locked="0"/>
    </xf>
    <xf numFmtId="2" fontId="0" fillId="0" borderId="4" xfId="0" applyNumberFormat="1" applyBorder="1" applyAlignment="1" applyProtection="1">
      <alignment vertical="center"/>
      <protection locked="0"/>
    </xf>
    <xf numFmtId="2" fontId="0" fillId="2" borderId="1" xfId="0" applyNumberFormat="1" applyFill="1" applyBorder="1" applyAlignment="1" applyProtection="1">
      <alignment vertical="center"/>
      <protection locked="0"/>
    </xf>
    <xf numFmtId="2" fontId="0" fillId="2" borderId="1" xfId="0" applyNumberFormat="1" applyFill="1" applyBorder="1" applyAlignment="1" applyProtection="1">
      <alignment horizontal="right" wrapText="1"/>
      <protection locked="0"/>
    </xf>
    <xf numFmtId="2" fontId="0" fillId="0" borderId="0" xfId="0" applyNumberFormat="1" applyAlignment="1" applyProtection="1">
      <alignment vertical="center" wrapText="1"/>
      <protection locked="0"/>
    </xf>
    <xf numFmtId="2" fontId="0" fillId="13" borderId="1" xfId="0" applyNumberFormat="1" applyFill="1" applyBorder="1" applyAlignment="1" applyProtection="1">
      <alignment vertical="center"/>
      <protection locked="0"/>
    </xf>
    <xf numFmtId="2" fontId="0" fillId="2" borderId="1" xfId="0" applyNumberFormat="1" applyFill="1" applyBorder="1" applyAlignment="1" applyProtection="1">
      <alignment horizontal="right"/>
      <protection locked="0"/>
    </xf>
    <xf numFmtId="2" fontId="0" fillId="4" borderId="1" xfId="0" applyNumberFormat="1" applyFill="1" applyBorder="1" applyAlignment="1" applyProtection="1">
      <alignment vertical="center"/>
      <protection locked="0"/>
    </xf>
    <xf numFmtId="2" fontId="7" fillId="0" borderId="0" xfId="0" applyNumberFormat="1" applyFont="1" applyAlignment="1" applyProtection="1">
      <alignment vertical="center"/>
      <protection locked="0"/>
    </xf>
    <xf numFmtId="2" fontId="0" fillId="0" borderId="0" xfId="0" applyNumberFormat="1" applyAlignment="1" applyProtection="1">
      <alignment horizontal="left" vertical="center"/>
      <protection locked="0"/>
    </xf>
    <xf numFmtId="2" fontId="0" fillId="2" borderId="1" xfId="0" applyNumberFormat="1" applyFill="1" applyBorder="1" applyAlignment="1" applyProtection="1">
      <alignment vertical="center" wrapText="1"/>
      <protection locked="0"/>
    </xf>
    <xf numFmtId="2" fontId="2" fillId="0" borderId="0" xfId="0" applyNumberFormat="1" applyFont="1" applyAlignment="1" applyProtection="1">
      <alignment vertical="center"/>
      <protection locked="0"/>
    </xf>
    <xf numFmtId="2" fontId="3" fillId="2" borderId="1" xfId="0" applyNumberFormat="1" applyFont="1" applyFill="1" applyBorder="1" applyAlignment="1" applyProtection="1">
      <alignment vertical="center"/>
      <protection locked="0"/>
    </xf>
    <xf numFmtId="2" fontId="0" fillId="2" borderId="1" xfId="0" applyNumberFormat="1" applyFill="1" applyBorder="1" applyAlignment="1" applyProtection="1">
      <alignment horizontal="right" vertical="center" wrapText="1"/>
      <protection locked="0"/>
    </xf>
    <xf numFmtId="2" fontId="12" fillId="13" borderId="1" xfId="0" applyNumberFormat="1" applyFont="1" applyFill="1" applyBorder="1" applyAlignment="1" applyProtection="1">
      <alignment vertical="center"/>
      <protection locked="0"/>
    </xf>
    <xf numFmtId="2" fontId="18" fillId="0" borderId="0" xfId="0" applyNumberFormat="1" applyFont="1" applyAlignment="1" applyProtection="1">
      <alignment vertical="center"/>
      <protection locked="0"/>
    </xf>
    <xf numFmtId="2" fontId="20" fillId="0" borderId="0" xfId="0" applyNumberFormat="1" applyFont="1" applyAlignment="1" applyProtection="1">
      <alignment vertical="center"/>
      <protection locked="0"/>
    </xf>
    <xf numFmtId="2" fontId="8" fillId="0" borderId="0" xfId="0" applyNumberFormat="1" applyFont="1" applyAlignment="1" applyProtection="1">
      <alignment horizontal="center" vertical="center"/>
      <protection locked="0"/>
    </xf>
    <xf numFmtId="2" fontId="0" fillId="13" borderId="1" xfId="0" applyNumberFormat="1" applyFill="1" applyBorder="1" applyAlignment="1" applyProtection="1">
      <alignment vertical="center" wrapText="1"/>
      <protection locked="0"/>
    </xf>
    <xf numFmtId="2" fontId="0" fillId="0" borderId="5" xfId="0" applyNumberFormat="1" applyBorder="1" applyAlignment="1" applyProtection="1">
      <alignment vertical="center"/>
      <protection locked="0"/>
    </xf>
    <xf numFmtId="1" fontId="0" fillId="2" borderId="1" xfId="0" applyNumberFormat="1" applyFill="1" applyBorder="1" applyAlignment="1" applyProtection="1">
      <alignment vertical="center"/>
      <protection locked="0"/>
    </xf>
    <xf numFmtId="1" fontId="0" fillId="13" borderId="1" xfId="0" applyNumberFormat="1" applyFill="1" applyBorder="1" applyAlignment="1" applyProtection="1">
      <alignment horizontal="right" vertical="center"/>
    </xf>
    <xf numFmtId="2" fontId="12" fillId="13" borderId="1" xfId="0" applyNumberFormat="1" applyFont="1" applyFill="1" applyBorder="1" applyAlignment="1" applyProtection="1">
      <alignment horizontal="right" vertical="center" wrapText="1"/>
    </xf>
    <xf numFmtId="1" fontId="0" fillId="13" borderId="1" xfId="0" applyNumberFormat="1" applyFill="1" applyBorder="1" applyAlignment="1" applyProtection="1">
      <alignment vertical="center"/>
    </xf>
    <xf numFmtId="1" fontId="0" fillId="2" borderId="1" xfId="0" applyNumberFormat="1" applyFill="1" applyBorder="1" applyAlignment="1" applyProtection="1">
      <alignment horizontal="right" vertical="center"/>
      <protection locked="0"/>
    </xf>
    <xf numFmtId="0" fontId="0" fillId="0" borderId="1" xfId="0" applyBorder="1" applyAlignment="1" applyProtection="1">
      <alignment horizontal="left" vertical="center" wrapText="1"/>
    </xf>
    <xf numFmtId="0" fontId="0" fillId="0" borderId="1" xfId="0" applyBorder="1" applyAlignment="1" applyProtection="1">
      <alignment horizontal="left" vertical="center"/>
    </xf>
    <xf numFmtId="9" fontId="0" fillId="13" borderId="1" xfId="0" applyNumberFormat="1" applyFill="1" applyBorder="1" applyAlignment="1" applyProtection="1">
      <alignment horizontal="right" vertical="center"/>
    </xf>
    <xf numFmtId="10" fontId="2" fillId="9" borderId="1" xfId="2" applyNumberFormat="1" applyFont="1" applyFill="1" applyBorder="1" applyAlignment="1" applyProtection="1">
      <alignment vertical="center"/>
    </xf>
    <xf numFmtId="0" fontId="2" fillId="9" borderId="7" xfId="0" applyFont="1" applyFill="1" applyBorder="1" applyAlignment="1" applyProtection="1">
      <alignment vertical="center" wrapText="1"/>
    </xf>
    <xf numFmtId="0" fontId="2" fillId="9" borderId="4" xfId="0" applyFont="1" applyFill="1" applyBorder="1" applyAlignment="1" applyProtection="1">
      <alignment vertical="center" wrapText="1"/>
    </xf>
    <xf numFmtId="0" fontId="0" fillId="0" borderId="0" xfId="0" applyAlignment="1" applyProtection="1">
      <alignment vertical="center" wrapText="1"/>
    </xf>
    <xf numFmtId="0" fontId="2" fillId="9" borderId="1" xfId="0" applyFont="1" applyFill="1" applyBorder="1" applyAlignment="1" applyProtection="1">
      <alignment vertical="center" wrapText="1"/>
    </xf>
    <xf numFmtId="0" fontId="2" fillId="9" borderId="1" xfId="0" applyFont="1" applyFill="1" applyBorder="1" applyAlignment="1" applyProtection="1">
      <alignment horizontal="center" vertical="center" wrapText="1"/>
    </xf>
    <xf numFmtId="2" fontId="2" fillId="9" borderId="1" xfId="0" applyNumberFormat="1" applyFont="1" applyFill="1" applyBorder="1" applyAlignment="1" applyProtection="1">
      <alignment horizontal="center" vertical="center"/>
    </xf>
    <xf numFmtId="0" fontId="0" fillId="11" borderId="1" xfId="0" applyFill="1" applyBorder="1" applyAlignment="1" applyProtection="1">
      <alignment vertical="center" wrapText="1"/>
    </xf>
    <xf numFmtId="3" fontId="7" fillId="0" borderId="1" xfId="0" applyNumberFormat="1" applyFont="1" applyBorder="1" applyAlignment="1" applyProtection="1">
      <alignment vertical="center" wrapText="1"/>
    </xf>
    <xf numFmtId="0" fontId="14" fillId="0" borderId="0" xfId="0" applyFont="1" applyAlignment="1" applyProtection="1">
      <alignment vertical="center"/>
    </xf>
    <xf numFmtId="0" fontId="0" fillId="7" borderId="1" xfId="0" applyFill="1" applyBorder="1" applyAlignment="1" applyProtection="1">
      <alignment horizontal="center" vertical="center"/>
    </xf>
    <xf numFmtId="3" fontId="0" fillId="7" borderId="1" xfId="0" applyNumberFormat="1" applyFill="1" applyBorder="1" applyAlignment="1" applyProtection="1">
      <alignment horizontal="center" vertical="center"/>
    </xf>
    <xf numFmtId="10" fontId="0" fillId="7" borderId="1" xfId="2" applyNumberFormat="1" applyFont="1" applyFill="1" applyBorder="1" applyAlignment="1" applyProtection="1">
      <alignment horizontal="center" vertical="center"/>
    </xf>
    <xf numFmtId="2" fontId="0" fillId="7" borderId="1" xfId="0" applyNumberFormat="1" applyFill="1" applyBorder="1" applyAlignment="1" applyProtection="1">
      <alignment horizontal="center" vertical="center"/>
    </xf>
    <xf numFmtId="165" fontId="0" fillId="7" borderId="1" xfId="1" applyNumberFormat="1" applyFont="1" applyFill="1" applyBorder="1" applyAlignment="1" applyProtection="1">
      <alignment horizontal="center" vertical="center"/>
    </xf>
    <xf numFmtId="165" fontId="0" fillId="13" borderId="1" xfId="0" applyNumberFormat="1" applyFill="1" applyBorder="1" applyAlignment="1" applyProtection="1">
      <alignment horizontal="center" vertical="center"/>
    </xf>
    <xf numFmtId="0" fontId="0" fillId="8" borderId="1" xfId="0" applyFill="1" applyBorder="1" applyAlignment="1" applyProtection="1">
      <alignment horizontal="center" vertical="center"/>
    </xf>
    <xf numFmtId="3" fontId="0" fillId="8" borderId="1" xfId="0" applyNumberFormat="1" applyFill="1" applyBorder="1" applyAlignment="1" applyProtection="1">
      <alignment horizontal="center" vertical="center"/>
    </xf>
    <xf numFmtId="10" fontId="0" fillId="8" borderId="1" xfId="2" applyNumberFormat="1" applyFont="1" applyFill="1" applyBorder="1" applyAlignment="1" applyProtection="1">
      <alignment horizontal="center" vertical="center"/>
    </xf>
    <xf numFmtId="2" fontId="0" fillId="8" borderId="1" xfId="2" applyNumberFormat="1" applyFont="1" applyFill="1" applyBorder="1" applyAlignment="1" applyProtection="1">
      <alignment horizontal="center" vertical="center"/>
    </xf>
    <xf numFmtId="0" fontId="0" fillId="8" borderId="1" xfId="2" applyNumberFormat="1" applyFont="1" applyFill="1" applyBorder="1" applyAlignment="1" applyProtection="1">
      <alignment horizontal="center" vertical="center"/>
    </xf>
    <xf numFmtId="0" fontId="12" fillId="11" borderId="1" xfId="0" applyFont="1" applyFill="1" applyBorder="1" applyAlignment="1" applyProtection="1">
      <alignment vertical="center" wrapText="1"/>
    </xf>
    <xf numFmtId="0" fontId="16" fillId="0" borderId="1" xfId="0" applyFont="1" applyBorder="1" applyAlignment="1" applyProtection="1">
      <alignment vertical="center" wrapText="1"/>
    </xf>
    <xf numFmtId="166" fontId="0" fillId="0" borderId="1" xfId="0" applyNumberFormat="1" applyBorder="1" applyAlignment="1" applyProtection="1">
      <alignment vertical="center" wrapText="1"/>
    </xf>
    <xf numFmtId="10" fontId="0" fillId="0" borderId="1" xfId="0" applyNumberFormat="1" applyFill="1" applyBorder="1" applyAlignment="1" applyProtection="1">
      <alignment vertical="center" wrapText="1"/>
    </xf>
    <xf numFmtId="0" fontId="0" fillId="0" borderId="0" xfId="0" applyFill="1" applyBorder="1" applyAlignment="1" applyProtection="1">
      <alignment vertical="center" wrapText="1"/>
    </xf>
    <xf numFmtId="10" fontId="0" fillId="0" borderId="0" xfId="2" applyNumberFormat="1" applyFont="1" applyFill="1" applyBorder="1" applyAlignment="1" applyProtection="1">
      <alignment vertical="center" wrapText="1"/>
    </xf>
    <xf numFmtId="2" fontId="0" fillId="0" borderId="0" xfId="0" applyNumberFormat="1" applyFill="1" applyBorder="1" applyAlignment="1" applyProtection="1">
      <alignment vertical="center" wrapText="1"/>
    </xf>
    <xf numFmtId="10" fontId="0" fillId="0" borderId="0" xfId="0" applyNumberFormat="1" applyFill="1" applyBorder="1" applyAlignment="1" applyProtection="1">
      <alignment vertical="center" wrapText="1"/>
    </xf>
    <xf numFmtId="0" fontId="2" fillId="0" borderId="0" xfId="0" applyFont="1" applyAlignment="1" applyProtection="1">
      <alignment vertical="center" wrapText="1"/>
    </xf>
    <xf numFmtId="166" fontId="21" fillId="0" borderId="0" xfId="0" applyNumberFormat="1" applyFont="1" applyAlignment="1" applyProtection="1">
      <alignment vertical="center" wrapText="1"/>
    </xf>
    <xf numFmtId="4" fontId="7" fillId="0" borderId="0" xfId="0" applyNumberFormat="1" applyFont="1" applyAlignment="1" applyProtection="1">
      <alignment vertical="center" wrapText="1"/>
    </xf>
    <xf numFmtId="0" fontId="0" fillId="0" borderId="0" xfId="0" applyFill="1" applyAlignment="1" applyProtection="1">
      <alignment vertical="center" wrapText="1"/>
    </xf>
    <xf numFmtId="6" fontId="0" fillId="0" borderId="1" xfId="0" applyNumberFormat="1" applyBorder="1" applyAlignment="1" applyProtection="1">
      <alignment vertical="center"/>
    </xf>
    <xf numFmtId="171" fontId="0" fillId="0" borderId="0" xfId="0" applyNumberFormat="1" applyAlignment="1" applyProtection="1">
      <alignment vertical="center" wrapText="1"/>
    </xf>
    <xf numFmtId="6" fontId="0" fillId="0" borderId="0" xfId="0" applyNumberFormat="1" applyAlignment="1" applyProtection="1">
      <alignment vertical="center"/>
    </xf>
    <xf numFmtId="6" fontId="12" fillId="0" borderId="0" xfId="0" applyNumberFormat="1" applyFont="1" applyAlignment="1" applyProtection="1">
      <alignment vertical="center"/>
    </xf>
    <xf numFmtId="0" fontId="19" fillId="0" borderId="0" xfId="0" applyFont="1" applyAlignment="1" applyProtection="1">
      <alignment vertical="center"/>
    </xf>
    <xf numFmtId="0" fontId="12" fillId="8" borderId="1" xfId="0" applyFont="1" applyFill="1" applyBorder="1" applyAlignment="1" applyProtection="1">
      <alignment horizontal="center" vertical="center"/>
    </xf>
    <xf numFmtId="2" fontId="12" fillId="8" borderId="1" xfId="2" applyNumberFormat="1" applyFont="1" applyFill="1" applyBorder="1" applyAlignment="1" applyProtection="1">
      <alignment horizontal="center" vertical="center"/>
    </xf>
    <xf numFmtId="0" fontId="12" fillId="8" borderId="1" xfId="2" applyNumberFormat="1" applyFont="1" applyFill="1" applyBorder="1" applyAlignment="1" applyProtection="1">
      <alignment horizontal="center" vertical="center"/>
    </xf>
    <xf numFmtId="165" fontId="12" fillId="13" borderId="1" xfId="0" applyNumberFormat="1" applyFont="1" applyFill="1" applyBorder="1" applyAlignment="1" applyProtection="1">
      <alignment horizontal="center" vertical="center"/>
    </xf>
    <xf numFmtId="166" fontId="0" fillId="0" borderId="1" xfId="0" applyNumberFormat="1" applyBorder="1" applyProtection="1"/>
    <xf numFmtId="173" fontId="0" fillId="0" borderId="0" xfId="0" applyNumberFormat="1" applyAlignment="1" applyProtection="1">
      <alignment vertical="center"/>
    </xf>
    <xf numFmtId="10" fontId="0" fillId="0" borderId="1" xfId="2" applyNumberFormat="1" applyFont="1" applyBorder="1" applyAlignment="1" applyProtection="1">
      <alignment vertical="center"/>
    </xf>
    <xf numFmtId="2" fontId="0" fillId="0" borderId="1" xfId="0" applyNumberFormat="1" applyBorder="1" applyAlignment="1" applyProtection="1">
      <alignment vertical="center"/>
    </xf>
    <xf numFmtId="165" fontId="0" fillId="0" borderId="1" xfId="0" applyNumberFormat="1" applyBorder="1" applyAlignment="1" applyProtection="1">
      <alignment vertical="center"/>
    </xf>
    <xf numFmtId="10" fontId="0" fillId="0" borderId="0" xfId="2" applyNumberFormat="1" applyFont="1" applyProtection="1"/>
    <xf numFmtId="2" fontId="0" fillId="0" borderId="0" xfId="0" applyNumberFormat="1" applyProtection="1"/>
    <xf numFmtId="0" fontId="0" fillId="0" borderId="0" xfId="0" applyAlignment="1" applyProtection="1">
      <alignment vertical="center"/>
      <protection locked="0"/>
    </xf>
    <xf numFmtId="0" fontId="12" fillId="0" borderId="0" xfId="0" applyFont="1" applyAlignment="1" applyProtection="1">
      <alignment vertical="center"/>
      <protection locked="0"/>
    </xf>
    <xf numFmtId="0" fontId="0" fillId="0" borderId="0" xfId="0" applyAlignment="1" applyProtection="1">
      <alignment vertical="center" wrapText="1"/>
      <protection locked="0"/>
    </xf>
    <xf numFmtId="3"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0" fontId="10" fillId="3" borderId="2" xfId="0" applyFont="1" applyFill="1" applyBorder="1" applyAlignment="1">
      <alignment horizontal="center"/>
    </xf>
    <xf numFmtId="0" fontId="10" fillId="3" borderId="3" xfId="0" applyFont="1" applyFill="1" applyBorder="1" applyAlignment="1">
      <alignment horizontal="center"/>
    </xf>
    <xf numFmtId="2" fontId="2" fillId="5" borderId="7" xfId="0" applyNumberFormat="1" applyFont="1" applyFill="1" applyBorder="1" applyAlignment="1" applyProtection="1">
      <alignment horizontal="center" vertical="center"/>
      <protection locked="0"/>
    </xf>
    <xf numFmtId="2" fontId="2" fillId="5" borderId="4" xfId="0" applyNumberFormat="1" applyFont="1" applyFill="1" applyBorder="1" applyAlignment="1" applyProtection="1">
      <alignment horizontal="center" vertical="center"/>
      <protection locked="0"/>
    </xf>
    <xf numFmtId="2" fontId="0" fillId="0" borderId="0" xfId="0" applyNumberFormat="1" applyAlignment="1" applyProtection="1">
      <alignment horizontal="center" vertical="center"/>
      <protection locked="0"/>
    </xf>
    <xf numFmtId="2" fontId="2" fillId="3" borderId="7" xfId="0" applyNumberFormat="1" applyFont="1" applyFill="1" applyBorder="1" applyAlignment="1" applyProtection="1">
      <alignment horizontal="center" vertical="center"/>
      <protection locked="0"/>
    </xf>
    <xf numFmtId="2" fontId="2" fillId="3" borderId="4"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left" vertical="center"/>
    </xf>
    <xf numFmtId="10" fontId="2" fillId="9" borderId="2" xfId="2" applyNumberFormat="1" applyFont="1" applyFill="1" applyBorder="1" applyAlignment="1" applyProtection="1">
      <alignment horizontal="center" vertical="center"/>
    </xf>
    <xf numFmtId="10" fontId="2" fillId="9" borderId="8" xfId="2" applyNumberFormat="1" applyFont="1" applyFill="1" applyBorder="1" applyAlignment="1" applyProtection="1">
      <alignment horizontal="center" vertical="center"/>
    </xf>
    <xf numFmtId="10" fontId="2" fillId="9" borderId="3" xfId="2" applyNumberFormat="1" applyFont="1" applyFill="1" applyBorder="1" applyAlignment="1" applyProtection="1">
      <alignment horizontal="center" vertical="center"/>
    </xf>
    <xf numFmtId="0" fontId="2" fillId="9" borderId="6" xfId="0" applyFont="1" applyFill="1" applyBorder="1" applyAlignment="1" applyProtection="1">
      <alignment horizontal="center" vertical="center"/>
    </xf>
    <xf numFmtId="0" fontId="2" fillId="9" borderId="10" xfId="0" applyFont="1" applyFill="1" applyBorder="1" applyAlignment="1" applyProtection="1">
      <alignment horizontal="center" vertical="center"/>
    </xf>
    <xf numFmtId="10" fontId="2" fillId="9" borderId="1" xfId="2" applyNumberFormat="1"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12" fillId="0" borderId="1" xfId="0" applyFont="1" applyBorder="1" applyAlignment="1" applyProtection="1">
      <alignment horizontal="left" vertical="center" wrapText="1"/>
      <protection locked="0"/>
    </xf>
    <xf numFmtId="0" fontId="2" fillId="15" borderId="1" xfId="0" applyFont="1" applyFill="1" applyBorder="1" applyAlignment="1" applyProtection="1">
      <alignment horizontal="center" vertical="center" wrapText="1"/>
    </xf>
    <xf numFmtId="0" fontId="2" fillId="15" borderId="6" xfId="0" applyFont="1" applyFill="1" applyBorder="1" applyAlignment="1" applyProtection="1">
      <alignment horizontal="center" vertical="center" wrapText="1"/>
    </xf>
    <xf numFmtId="0" fontId="2" fillId="15" borderId="9" xfId="0" applyFont="1" applyFill="1" applyBorder="1" applyAlignment="1" applyProtection="1">
      <alignment horizontal="center" vertical="center" wrapText="1"/>
    </xf>
    <xf numFmtId="0" fontId="2" fillId="15" borderId="10" xfId="0" applyFont="1" applyFill="1" applyBorder="1" applyAlignment="1" applyProtection="1">
      <alignment horizontal="center" vertical="center" wrapText="1"/>
    </xf>
    <xf numFmtId="0" fontId="0" fillId="15" borderId="1" xfId="0" applyFill="1" applyBorder="1" applyAlignment="1" applyProtection="1">
      <alignment horizontal="center"/>
    </xf>
    <xf numFmtId="0" fontId="2" fillId="9" borderId="1" xfId="0" applyFont="1" applyFill="1" applyBorder="1" applyAlignment="1" applyProtection="1">
      <alignment horizontal="left" vertical="center" wrapText="1"/>
    </xf>
    <xf numFmtId="0" fontId="13" fillId="15" borderId="1" xfId="0" applyFont="1" applyFill="1" applyBorder="1" applyAlignment="1" applyProtection="1">
      <alignment horizontal="center" vertical="center" wrapText="1"/>
      <protection locked="0"/>
    </xf>
    <xf numFmtId="0" fontId="7" fillId="0" borderId="2" xfId="0" applyFont="1" applyBorder="1" applyAlignment="1">
      <alignment vertical="top"/>
    </xf>
    <xf numFmtId="0" fontId="7" fillId="0" borderId="3" xfId="0" applyFont="1" applyBorder="1" applyAlignment="1">
      <alignment vertical="top"/>
    </xf>
    <xf numFmtId="0" fontId="4" fillId="0" borderId="0" xfId="0" applyFont="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0" borderId="0" xfId="3" applyAlignment="1" applyProtection="1">
      <alignment horizontal="left" vertical="center"/>
    </xf>
    <xf numFmtId="0" fontId="0" fillId="0" borderId="0" xfId="0" applyAlignment="1">
      <alignment horizontal="left" vertical="center"/>
    </xf>
    <xf numFmtId="0" fontId="2" fillId="16" borderId="4" xfId="0" applyFont="1" applyFill="1" applyBorder="1" applyAlignment="1">
      <alignment horizontal="center"/>
    </xf>
  </cellXfs>
  <cellStyles count="5">
    <cellStyle name="Currency" xfId="1" builtinId="4"/>
    <cellStyle name="Hyperlink" xfId="3" builtinId="8"/>
    <cellStyle name="Normal" xfId="0" builtinId="0"/>
    <cellStyle name="Normal 2" xfId="4" xr:uid="{64EBEAA3-ADC4-4E1D-A009-E742316EFDDC}"/>
    <cellStyle name="Percent" xfId="2" builtinId="5"/>
  </cellStyles>
  <dxfs count="1">
    <dxf>
      <fill>
        <patternFill>
          <bgColor rgb="FFFF61FF"/>
        </patternFill>
      </fill>
    </dxf>
  </dxfs>
  <tableStyles count="0" defaultTableStyle="TableStyleMedium9" defaultPivotStyle="PivotStyleLight16"/>
  <colors>
    <mruColors>
      <color rgb="FFFF61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hyperlink" Target="https://www.transportation.gov/sites/dot.gov/files/2023-12/Benefit%20Cost%20Analysis%20Guidance%202024%20Update.pdf" TargetMode="External"/><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335445</xdr:colOff>
      <xdr:row>1</xdr:row>
      <xdr:rowOff>74540</xdr:rowOff>
    </xdr:from>
    <xdr:to>
      <xdr:col>11</xdr:col>
      <xdr:colOff>503582</xdr:colOff>
      <xdr:row>100</xdr:row>
      <xdr:rowOff>99392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35445" y="260070"/>
          <a:ext cx="10822885" cy="18392365"/>
        </a:xfrm>
        <a:prstGeom prst="rect">
          <a:avLst/>
        </a:prstGeom>
        <a:solidFill>
          <a:schemeClr val="bg1">
            <a:lumMod val="95000"/>
          </a:schemeClr>
        </a:solidFill>
        <a:ln>
          <a:solidFill>
            <a:schemeClr val="accent1">
              <a:lumMod val="50000"/>
            </a:schemeClr>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dk1"/>
              </a:solidFill>
              <a:effectLst/>
              <a:latin typeface="+mn-lt"/>
              <a:ea typeface="+mn-ea"/>
              <a:cs typeface="+mn-cs"/>
            </a:rPr>
            <a:t>Instructions: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On the "Inputs &amp; Outputs" tab, fill in all "blue " shaded sections (Project Information, Proposed Improvement Information and Daily Travel Demand). Download 2018-2022 	crash data and Ped bike commuter analysis from interactive web applications available </a:t>
          </a:r>
          <a:r>
            <a:rPr lang="en-US" sz="1100" u="sng">
              <a:solidFill>
                <a:schemeClr val="dk1"/>
              </a:solidFill>
              <a:effectLst/>
              <a:latin typeface="+mn-lt"/>
              <a:ea typeface="+mn-ea"/>
              <a:cs typeface="+mn-cs"/>
              <a:hlinkClick xmlns:r="http://schemas.openxmlformats.org/officeDocument/2006/relationships" r:id=""/>
            </a:rPr>
            <a:t>here</a:t>
          </a:r>
          <a:r>
            <a:rPr lang="en-US" sz="1100">
              <a:solidFill>
                <a:schemeClr val="dk1"/>
              </a:solidFill>
              <a:effectLst/>
              <a:latin typeface="+mn-lt"/>
              <a:ea typeface="+mn-ea"/>
              <a:cs typeface="+mn-cs"/>
            </a:rPr>
            <a:t> paste them into ‘Raw Crash data’ and ‘Ped Bike commuter analysis data’ tabs 	(instructions are provided below). </a:t>
          </a:r>
        </a:p>
        <a:p>
          <a:r>
            <a:rPr lang="en-US" sz="1100" b="1">
              <a:solidFill>
                <a:schemeClr val="dk1"/>
              </a:solidFill>
              <a:effectLst/>
              <a:latin typeface="+mn-lt"/>
              <a:ea typeface="+mn-ea"/>
              <a:cs typeface="+mn-cs"/>
            </a:rPr>
            <a:t>Project Information: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Project Title: Enter the proposed project name/title.</a:t>
          </a:r>
        </a:p>
        <a:p>
          <a:r>
            <a:rPr lang="en-US" sz="1100">
              <a:solidFill>
                <a:schemeClr val="dk1"/>
              </a:solidFill>
              <a:effectLst/>
              <a:latin typeface="+mn-lt"/>
              <a:ea typeface="+mn-ea"/>
              <a:cs typeface="+mn-cs"/>
            </a:rPr>
            <a:t>	County: Select County name from the drop-down list.  If the proposed roadway project crosses county boundary, then select the county that contains majority of the 	project area.</a:t>
          </a:r>
        </a:p>
        <a:p>
          <a:r>
            <a:rPr lang="en-US" sz="1100">
              <a:solidFill>
                <a:schemeClr val="dk1"/>
              </a:solidFill>
              <a:effectLst/>
              <a:latin typeface="+mn-lt"/>
              <a:ea typeface="+mn-ea"/>
              <a:cs typeface="+mn-cs"/>
            </a:rPr>
            <a:t>	Facility Type: Select the facility type of the proposed project from the drop-down list.</a:t>
          </a:r>
        </a:p>
        <a:p>
          <a:r>
            <a:rPr lang="en-US" sz="1100">
              <a:solidFill>
                <a:schemeClr val="dk1"/>
              </a:solidFill>
              <a:effectLst/>
              <a:latin typeface="+mn-lt"/>
              <a:ea typeface="+mn-ea"/>
              <a:cs typeface="+mn-cs"/>
            </a:rPr>
            <a:t>	Street Name: Enter name of the facility on which proposed project/improvement is located. </a:t>
          </a:r>
        </a:p>
        <a:p>
          <a:r>
            <a:rPr lang="en-US" sz="1100">
              <a:solidFill>
                <a:schemeClr val="dk1"/>
              </a:solidFill>
              <a:effectLst/>
              <a:latin typeface="+mn-lt"/>
              <a:ea typeface="+mn-ea"/>
              <a:cs typeface="+mn-cs"/>
            </a:rPr>
            <a:t>	Limits: Enter name limits from and to.</a:t>
          </a:r>
        </a:p>
        <a:p>
          <a:r>
            <a:rPr lang="en-US" sz="1100">
              <a:solidFill>
                <a:schemeClr val="dk1"/>
              </a:solidFill>
              <a:effectLst/>
              <a:latin typeface="+mn-lt"/>
              <a:ea typeface="+mn-ea"/>
              <a:cs typeface="+mn-cs"/>
            </a:rPr>
            <a:t>	Project Length: Provide project length in miles.  For intersection improvements, interchange construction, highway or railroad grade separation projects please use the 	distance up to next intersection (on either side of the proposed project intersection) or 0.25 miles 	whichever is smaller in length.</a:t>
          </a:r>
        </a:p>
        <a:p>
          <a:r>
            <a:rPr lang="en-US" sz="1100">
              <a:solidFill>
                <a:schemeClr val="dk1"/>
              </a:solidFill>
              <a:effectLst/>
              <a:latin typeface="+mn-lt"/>
              <a:ea typeface="+mn-ea"/>
              <a:cs typeface="+mn-cs"/>
            </a:rPr>
            <a:t>	Application Id Number: Please provide online project application Id Number.</a:t>
          </a:r>
        </a:p>
        <a:p>
          <a:r>
            <a:rPr lang="en-US" sz="1100">
              <a:solidFill>
                <a:schemeClr val="dk1"/>
              </a:solidFill>
              <a:effectLst/>
              <a:latin typeface="+mn-lt"/>
              <a:ea typeface="+mn-ea"/>
              <a:cs typeface="+mn-cs"/>
            </a:rPr>
            <a:t>	CSJ Number/MPOID Number (C13): If the proposed project is listed in 2045 RTP or any previous RTPs please provide the MPOID number and CSJ number (if it exists).</a:t>
          </a:r>
        </a:p>
        <a:p>
          <a:r>
            <a:rPr lang="en-US" sz="1100">
              <a:solidFill>
                <a:schemeClr val="dk1"/>
              </a:solidFill>
              <a:effectLst/>
              <a:latin typeface="+mn-lt"/>
              <a:ea typeface="+mn-ea"/>
              <a:cs typeface="+mn-cs"/>
            </a:rPr>
            <a:t> </a:t>
          </a:r>
          <a:r>
            <a:rPr lang="en-US" sz="1100" b="1" i="1">
              <a:solidFill>
                <a:schemeClr val="dk1"/>
              </a:solidFill>
              <a:effectLst/>
              <a:latin typeface="+mn-lt"/>
              <a:ea typeface="+mn-ea"/>
              <a:cs typeface="+mn-cs"/>
            </a:rPr>
            <a:t>Proposed Improvement Information</a:t>
          </a:r>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Year Open to Traffic Must be &gt;=2025:</a:t>
          </a:r>
          <a:r>
            <a:rPr lang="en-US" sz="1100">
              <a:solidFill>
                <a:schemeClr val="dk1"/>
              </a:solidFill>
              <a:effectLst/>
              <a:latin typeface="+mn-lt"/>
              <a:ea typeface="+mn-ea"/>
              <a:cs typeface="+mn-cs"/>
            </a:rPr>
            <a:t> Select the year Open to Traffic from the drop-down list in cell C16.</a:t>
          </a:r>
        </a:p>
        <a:p>
          <a:r>
            <a:rPr lang="en-US" sz="1100" i="1">
              <a:solidFill>
                <a:schemeClr val="dk1"/>
              </a:solidFill>
              <a:effectLst/>
              <a:latin typeface="+mn-lt"/>
              <a:ea typeface="+mn-ea"/>
              <a:cs typeface="+mn-cs"/>
            </a:rPr>
            <a:t>	Safety Improvement Type 1, 2, and 3:</a:t>
          </a:r>
          <a:r>
            <a:rPr lang="en-US" sz="1100">
              <a:solidFill>
                <a:schemeClr val="dk1"/>
              </a:solidFill>
              <a:effectLst/>
              <a:latin typeface="+mn-lt"/>
              <a:ea typeface="+mn-ea"/>
              <a:cs typeface="+mn-cs"/>
            </a:rPr>
            <a:t> Select up to 3 safety improvement types from the dropdown lists.</a:t>
          </a:r>
        </a:p>
        <a:p>
          <a:r>
            <a:rPr lang="en-US" sz="1100" i="1">
              <a:solidFill>
                <a:schemeClr val="dk1"/>
              </a:solidFill>
              <a:effectLst/>
              <a:latin typeface="+mn-lt"/>
              <a:ea typeface="+mn-ea"/>
              <a:cs typeface="+mn-cs"/>
            </a:rPr>
            <a:t>	Bike/Ped Improvement Type: Select bike/ped improvement type from the dropdown list. If no bike/ped improvements are proposed leave blank.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Daily Travel Demand</a:t>
          </a:r>
          <a:r>
            <a:rPr lang="en-US" sz="1100" i="1">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2022 Traffic Volume: </a:t>
          </a:r>
          <a:r>
            <a:rPr lang="en-US" sz="1100">
              <a:solidFill>
                <a:schemeClr val="dk1"/>
              </a:solidFill>
              <a:effectLst/>
              <a:latin typeface="+mn-lt"/>
              <a:ea typeface="+mn-ea"/>
              <a:cs typeface="+mn-cs"/>
            </a:rPr>
            <a:t>Enter estimated 2022 AADT. H-GAC traffic count data is available </a:t>
          </a:r>
          <a:r>
            <a:rPr lang="en-US" sz="1100" u="sng">
              <a:solidFill>
                <a:schemeClr val="dk1"/>
              </a:solidFill>
              <a:effectLst/>
              <a:latin typeface="+mn-lt"/>
              <a:ea typeface="+mn-ea"/>
              <a:cs typeface="+mn-cs"/>
              <a:hlinkClick xmlns:r="http://schemas.openxmlformats.org/officeDocument/2006/relationships" r:id=""/>
            </a:rPr>
            <a:t>here</a:t>
          </a:r>
          <a:r>
            <a:rPr lang="en-US" sz="1100">
              <a:solidFill>
                <a:schemeClr val="dk1"/>
              </a:solidFill>
              <a:effectLst/>
              <a:latin typeface="+mn-lt"/>
              <a:ea typeface="+mn-ea"/>
              <a:cs typeface="+mn-cs"/>
            </a:rPr>
            <a:t>. (For new road construction projects please reach out to H-GAC staff)</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Raw Crash data:</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	</a:t>
          </a:r>
          <a:r>
            <a:rPr lang="en-US" sz="1100" kern="300" spc="0" baseline="0">
              <a:solidFill>
                <a:schemeClr val="dk1"/>
              </a:solidFill>
              <a:effectLst/>
              <a:latin typeface="+mn-lt"/>
              <a:ea typeface="+mn-ea"/>
              <a:cs typeface="+mn-cs"/>
            </a:rPr>
            <a:t>Open Regional Crash data available </a:t>
          </a:r>
          <a:r>
            <a:rPr lang="en-US" sz="1100" u="sng" kern="300" spc="0" baseline="0">
              <a:solidFill>
                <a:schemeClr val="dk1"/>
              </a:solidFill>
              <a:effectLst/>
              <a:latin typeface="+mn-lt"/>
              <a:ea typeface="+mn-ea"/>
              <a:cs typeface="+mn-cs"/>
              <a:hlinkClick xmlns:r="http://schemas.openxmlformats.org/officeDocument/2006/relationships" r:id=""/>
            </a:rPr>
            <a:t>here</a:t>
          </a:r>
          <a:r>
            <a:rPr lang="en-US" sz="1100" kern="300" spc="0" baseline="0">
              <a:solidFill>
                <a:schemeClr val="dk1"/>
              </a:solidFill>
              <a:effectLst/>
              <a:latin typeface="+mn-lt"/>
              <a:ea typeface="+mn-ea"/>
              <a:cs typeface="+mn-cs"/>
            </a:rPr>
            <a:t>.</a:t>
          </a:r>
        </a:p>
        <a:p>
          <a:endParaRPr lang="en-US" sz="1100" kern="300" spc="0" baseline="0">
            <a:solidFill>
              <a:schemeClr val="dk1"/>
            </a:solidFill>
            <a:effectLst/>
            <a:latin typeface="+mn-lt"/>
            <a:ea typeface="+mn-ea"/>
            <a:cs typeface="+mn-cs"/>
          </a:endParaRPr>
        </a:p>
        <a:p>
          <a:r>
            <a:rPr lang="en-US" sz="1100" kern="300" spc="0" baseline="0">
              <a:solidFill>
                <a:schemeClr val="dk1"/>
              </a:solidFill>
              <a:effectLst/>
              <a:latin typeface="+mn-lt"/>
              <a:ea typeface="+mn-ea"/>
              <a:cs typeface="+mn-cs"/>
            </a:rPr>
            <a:t>	Open Crash Data Viewer tab</a:t>
          </a:r>
        </a:p>
        <a:p>
          <a:r>
            <a:rPr lang="en-US" sz="1100" kern="300" spc="0" baseline="0">
              <a:solidFill>
                <a:schemeClr val="dk1"/>
              </a:solidFill>
              <a:effectLst/>
              <a:latin typeface="+mn-lt"/>
              <a:ea typeface="+mn-ea"/>
              <a:cs typeface="+mn-cs"/>
            </a:rPr>
            <a:t>	Click on Location Analysis Widget </a:t>
          </a:r>
        </a:p>
        <a:p>
          <a:r>
            <a:rPr lang="en-US" sz="1100" kern="300" spc="0" baseline="0">
              <a:solidFill>
                <a:schemeClr val="dk1"/>
              </a:solidFill>
              <a:effectLst/>
              <a:latin typeface="+mn-lt"/>
              <a:ea typeface="+mn-ea"/>
              <a:cs typeface="+mn-cs"/>
            </a:rPr>
            <a:t>	Analysis </a:t>
          </a:r>
          <a:r>
            <a:rPr lang="en-US" sz="1100">
              <a:solidFill>
                <a:schemeClr val="dk1"/>
              </a:solidFill>
              <a:effectLst/>
              <a:latin typeface="+mn-lt"/>
              <a:ea typeface="+mn-ea"/>
              <a:cs typeface="+mn-cs"/>
            </a:rPr>
            <a:t>control panel appears at the bottom of the application.</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For corridor projects click on Draw Line </a:t>
          </a:r>
        </a:p>
        <a:p>
          <a:r>
            <a:rPr lang="en-US" sz="1100">
              <a:solidFill>
                <a:schemeClr val="dk1"/>
              </a:solidFill>
              <a:effectLst/>
              <a:latin typeface="+mn-lt"/>
              <a:ea typeface="+mn-ea"/>
              <a:cs typeface="+mn-cs"/>
            </a:rPr>
            <a:t>	Locate your mouse point at project location and draw a line</a:t>
          </a:r>
        </a:p>
        <a:p>
          <a:r>
            <a:rPr lang="en-US" sz="1100">
              <a:solidFill>
                <a:schemeClr val="dk1"/>
              </a:solidFill>
              <a:effectLst/>
              <a:latin typeface="+mn-lt"/>
              <a:ea typeface="+mn-ea"/>
              <a:cs typeface="+mn-cs"/>
            </a:rPr>
            <a:t>	Create a buffer 0.02 miles (~100 feet) for divided highway set buffer distance that can capture both directions. If project dose not include improvements to frontage roads 	make sure to exclude frontage roads from selection.</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Click All Crashes tab to view results.</a:t>
          </a:r>
        </a:p>
        <a:p>
          <a:r>
            <a:rPr lang="en-US" sz="1100">
              <a:solidFill>
                <a:schemeClr val="dk1"/>
              </a:solidFill>
              <a:effectLst/>
              <a:latin typeface="+mn-lt"/>
              <a:ea typeface="+mn-ea"/>
              <a:cs typeface="+mn-cs"/>
            </a:rPr>
            <a:t>	Click Download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data in.csv format.  Save the file. </a:t>
          </a:r>
        </a:p>
        <a:p>
          <a:r>
            <a:rPr lang="en-US" sz="1100">
              <a:solidFill>
                <a:schemeClr val="dk1"/>
              </a:solidFill>
              <a:effectLst/>
              <a:latin typeface="+mn-lt"/>
              <a:ea typeface="+mn-ea"/>
              <a:cs typeface="+mn-cs"/>
            </a:rPr>
            <a:t>	Copy downloaded data and save it to Raw Crash data tab. Make sure to copy and save all data from cell A1</a:t>
          </a:r>
        </a:p>
        <a:p>
          <a:r>
            <a:rPr lang="en-US" sz="1100">
              <a:solidFill>
                <a:schemeClr val="dk1"/>
              </a:solidFill>
              <a:effectLst/>
              <a:latin typeface="+mn-lt"/>
              <a:ea typeface="+mn-ea"/>
              <a:cs typeface="+mn-cs"/>
            </a:rPr>
            <a:t>	For Intersection improvements, interchanges, grade separation click on Draw point </a:t>
          </a:r>
        </a:p>
        <a:p>
          <a:r>
            <a:rPr lang="en-US" sz="1100">
              <a:solidFill>
                <a:schemeClr val="dk1"/>
              </a:solidFill>
              <a:effectLst/>
              <a:latin typeface="+mn-lt"/>
              <a:ea typeface="+mn-ea"/>
              <a:cs typeface="+mn-cs"/>
            </a:rPr>
            <a:t>	Create a buffer 0.25 miles</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Click All Crashes tab to view results.</a:t>
          </a:r>
        </a:p>
        <a:p>
          <a:r>
            <a:rPr lang="en-US" sz="1100">
              <a:solidFill>
                <a:schemeClr val="dk1"/>
              </a:solidFill>
              <a:effectLst/>
              <a:latin typeface="+mn-lt"/>
              <a:ea typeface="+mn-ea"/>
              <a:cs typeface="+mn-cs"/>
            </a:rPr>
            <a:t>	Click Download        in.csv format.  Save the file. </a:t>
          </a:r>
        </a:p>
        <a:p>
          <a:r>
            <a:rPr lang="en-US" sz="1100">
              <a:solidFill>
                <a:schemeClr val="dk1"/>
              </a:solidFill>
              <a:effectLst/>
              <a:latin typeface="+mn-lt"/>
              <a:ea typeface="+mn-ea"/>
              <a:cs typeface="+mn-cs"/>
            </a:rPr>
            <a:t>	Copy downloaded data and save it to Raw Crash data tab. Make sure to copy and save all data from cell A1</a:t>
          </a:r>
        </a:p>
        <a:p>
          <a:r>
            <a:rPr lang="en-US" sz="1100" b="1" i="1">
              <a:solidFill>
                <a:schemeClr val="dk1"/>
              </a:solidFill>
              <a:effectLst/>
              <a:latin typeface="+mn-lt"/>
              <a:ea typeface="+mn-ea"/>
              <a:cs typeface="+mn-cs"/>
            </a:rPr>
            <a:t>Ped bike commuter analysis data</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Open Activity-Connectivity Explorer – Advanced Viewer available </a:t>
          </a:r>
          <a:r>
            <a:rPr lang="en-US" sz="1100" u="sng">
              <a:solidFill>
                <a:schemeClr val="dk1"/>
              </a:solidFill>
              <a:effectLst/>
              <a:latin typeface="+mn-lt"/>
              <a:ea typeface="+mn-ea"/>
              <a:cs typeface="+mn-cs"/>
              <a:hlinkClick xmlns:r="http://schemas.openxmlformats.org/officeDocument/2006/relationships" r:id=""/>
            </a:rPr>
            <a:t>here</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	Click on Location Analysis Widget </a:t>
          </a:r>
        </a:p>
        <a:p>
          <a:r>
            <a:rPr lang="en-US" sz="1100">
              <a:solidFill>
                <a:schemeClr val="dk1"/>
              </a:solidFill>
              <a:effectLst/>
              <a:latin typeface="+mn-lt"/>
              <a:ea typeface="+mn-ea"/>
              <a:cs typeface="+mn-cs"/>
            </a:rPr>
            <a:t>	Analysis control panel appears at the bottom of the application.</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For corridor projects click on Draw Line </a:t>
          </a:r>
        </a:p>
        <a:p>
          <a:r>
            <a:rPr lang="en-US" sz="1100">
              <a:solidFill>
                <a:schemeClr val="dk1"/>
              </a:solidFill>
              <a:effectLst/>
              <a:latin typeface="+mn-lt"/>
              <a:ea typeface="+mn-ea"/>
              <a:cs typeface="+mn-cs"/>
            </a:rPr>
            <a:t>	Locate your mouse point at project location and draw a line</a:t>
          </a:r>
        </a:p>
        <a:p>
          <a:r>
            <a:rPr lang="en-US" sz="1100">
              <a:solidFill>
                <a:schemeClr val="dk1"/>
              </a:solidFill>
              <a:effectLst/>
              <a:latin typeface="+mn-lt"/>
              <a:ea typeface="+mn-ea"/>
              <a:cs typeface="+mn-cs"/>
            </a:rPr>
            <a:t>	Create a buffer 0.25 miles.</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Click Ped-Bike Commuter Analysis tab to view results.</a:t>
          </a:r>
        </a:p>
        <a:p>
          <a:r>
            <a:rPr lang="en-US" sz="1100">
              <a:solidFill>
                <a:schemeClr val="dk1"/>
              </a:solidFill>
              <a:effectLst/>
              <a:latin typeface="+mn-lt"/>
              <a:ea typeface="+mn-ea"/>
              <a:cs typeface="+mn-cs"/>
            </a:rPr>
            <a:t>	Click Download        data in.csv format.  Save the file. </a:t>
          </a:r>
        </a:p>
        <a:p>
          <a:r>
            <a:rPr lang="en-US" sz="1100">
              <a:solidFill>
                <a:schemeClr val="dk1"/>
              </a:solidFill>
              <a:effectLst/>
              <a:latin typeface="+mn-lt"/>
              <a:ea typeface="+mn-ea"/>
              <a:cs typeface="+mn-cs"/>
            </a:rPr>
            <a:t>	Copy downloaded data and save it to Ped bike commuter analysis tab. Make sure to copy and save all data from cell A1</a:t>
          </a:r>
        </a:p>
        <a:p>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endParaRPr lang="en-US" sz="1100" b="1" baseline="0">
            <a:solidFill>
              <a:schemeClr val="bg1"/>
            </a:solidFill>
            <a:latin typeface="+mn-lt"/>
          </a:endParaRPr>
        </a:p>
      </xdr:txBody>
    </xdr:sp>
    <xdr:clientData/>
  </xdr:twoCellAnchor>
  <xdr:twoCellAnchor editAs="oneCell">
    <xdr:from>
      <xdr:col>0</xdr:col>
      <xdr:colOff>3001617</xdr:colOff>
      <xdr:row>25</xdr:row>
      <xdr:rowOff>78995</xdr:rowOff>
    </xdr:from>
    <xdr:to>
      <xdr:col>1</xdr:col>
      <xdr:colOff>735496</xdr:colOff>
      <xdr:row>26</xdr:row>
      <xdr:rowOff>72743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1617" y="4717256"/>
          <a:ext cx="828262" cy="179278"/>
        </a:xfrm>
        <a:prstGeom prst="rect">
          <a:avLst/>
        </a:prstGeom>
      </xdr:spPr>
    </xdr:pic>
    <xdr:clientData/>
  </xdr:twoCellAnchor>
  <xdr:twoCellAnchor editAs="oneCell">
    <xdr:from>
      <xdr:col>1</xdr:col>
      <xdr:colOff>185530</xdr:colOff>
      <xdr:row>26</xdr:row>
      <xdr:rowOff>99392</xdr:rowOff>
    </xdr:from>
    <xdr:to>
      <xdr:col>1</xdr:col>
      <xdr:colOff>364648</xdr:colOff>
      <xdr:row>27</xdr:row>
      <xdr:rowOff>89567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9913" y="4923183"/>
          <a:ext cx="179118" cy="175706"/>
        </a:xfrm>
        <a:prstGeom prst="rect">
          <a:avLst/>
        </a:prstGeom>
      </xdr:spPr>
    </xdr:pic>
    <xdr:clientData/>
  </xdr:twoCellAnchor>
  <xdr:twoCellAnchor editAs="oneCell">
    <xdr:from>
      <xdr:col>0</xdr:col>
      <xdr:colOff>1230893</xdr:colOff>
      <xdr:row>29</xdr:row>
      <xdr:rowOff>103772</xdr:rowOff>
    </xdr:from>
    <xdr:to>
      <xdr:col>1</xdr:col>
      <xdr:colOff>390347</xdr:colOff>
      <xdr:row>33</xdr:row>
      <xdr:rowOff>80371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230893" y="5303301"/>
          <a:ext cx="2252278" cy="693776"/>
        </a:xfrm>
        <a:prstGeom prst="rect">
          <a:avLst/>
        </a:prstGeom>
      </xdr:spPr>
    </xdr:pic>
    <xdr:clientData/>
  </xdr:twoCellAnchor>
  <xdr:twoCellAnchor editAs="oneCell">
    <xdr:from>
      <xdr:col>1</xdr:col>
      <xdr:colOff>527602</xdr:colOff>
      <xdr:row>33</xdr:row>
      <xdr:rowOff>133785</xdr:rowOff>
    </xdr:from>
    <xdr:to>
      <xdr:col>1</xdr:col>
      <xdr:colOff>691432</xdr:colOff>
      <xdr:row>34</xdr:row>
      <xdr:rowOff>116530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3620426" y="6050491"/>
          <a:ext cx="163830" cy="162039"/>
        </a:xfrm>
        <a:prstGeom prst="rect">
          <a:avLst/>
        </a:prstGeom>
      </xdr:spPr>
    </xdr:pic>
    <xdr:clientData/>
  </xdr:twoCellAnchor>
  <xdr:twoCellAnchor editAs="oneCell">
    <xdr:from>
      <xdr:col>0</xdr:col>
      <xdr:colOff>1338470</xdr:colOff>
      <xdr:row>36</xdr:row>
      <xdr:rowOff>107467</xdr:rowOff>
    </xdr:from>
    <xdr:to>
      <xdr:col>3</xdr:col>
      <xdr:colOff>1492583</xdr:colOff>
      <xdr:row>48</xdr:row>
      <xdr:rowOff>165652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1338470" y="6786563"/>
          <a:ext cx="4474322" cy="2284550"/>
        </a:xfrm>
        <a:prstGeom prst="rect">
          <a:avLst/>
        </a:prstGeom>
      </xdr:spPr>
    </xdr:pic>
    <xdr:clientData/>
  </xdr:twoCellAnchor>
  <xdr:twoCellAnchor editAs="oneCell">
    <xdr:from>
      <xdr:col>0</xdr:col>
      <xdr:colOff>2303394</xdr:colOff>
      <xdr:row>50</xdr:row>
      <xdr:rowOff>41410</xdr:rowOff>
    </xdr:from>
    <xdr:to>
      <xdr:col>0</xdr:col>
      <xdr:colOff>2544694</xdr:colOff>
      <xdr:row>51</xdr:row>
      <xdr:rowOff>40665</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2303394" y="9317932"/>
          <a:ext cx="241300" cy="184785"/>
        </a:xfrm>
        <a:prstGeom prst="rect">
          <a:avLst/>
        </a:prstGeom>
      </xdr:spPr>
    </xdr:pic>
    <xdr:clientData/>
  </xdr:twoCellAnchor>
  <xdr:twoCellAnchor editAs="oneCell">
    <xdr:from>
      <xdr:col>4</xdr:col>
      <xdr:colOff>189670</xdr:colOff>
      <xdr:row>52</xdr:row>
      <xdr:rowOff>41409</xdr:rowOff>
    </xdr:from>
    <xdr:to>
      <xdr:col>4</xdr:col>
      <xdr:colOff>373820</xdr:colOff>
      <xdr:row>53</xdr:row>
      <xdr:rowOff>46379</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xfrm>
          <a:off x="6126644" y="9688992"/>
          <a:ext cx="184150" cy="190500"/>
        </a:xfrm>
        <a:prstGeom prst="rect">
          <a:avLst/>
        </a:prstGeom>
      </xdr:spPr>
    </xdr:pic>
    <xdr:clientData/>
  </xdr:twoCellAnchor>
  <xdr:twoCellAnchor editAs="oneCell">
    <xdr:from>
      <xdr:col>0</xdr:col>
      <xdr:colOff>1322731</xdr:colOff>
      <xdr:row>54</xdr:row>
      <xdr:rowOff>48038</xdr:rowOff>
    </xdr:from>
    <xdr:to>
      <xdr:col>3</xdr:col>
      <xdr:colOff>848139</xdr:colOff>
      <xdr:row>64</xdr:row>
      <xdr:rowOff>127947</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1322731" y="10066681"/>
          <a:ext cx="3845617" cy="1935214"/>
        </a:xfrm>
        <a:prstGeom prst="rect">
          <a:avLst/>
        </a:prstGeom>
      </xdr:spPr>
    </xdr:pic>
    <xdr:clientData/>
  </xdr:twoCellAnchor>
  <xdr:twoCellAnchor editAs="oneCell">
    <xdr:from>
      <xdr:col>0</xdr:col>
      <xdr:colOff>2217254</xdr:colOff>
      <xdr:row>66</xdr:row>
      <xdr:rowOff>160678</xdr:rowOff>
    </xdr:from>
    <xdr:to>
      <xdr:col>0</xdr:col>
      <xdr:colOff>2458554</xdr:colOff>
      <xdr:row>67</xdr:row>
      <xdr:rowOff>159933</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6"/>
        <a:stretch>
          <a:fillRect/>
        </a:stretch>
      </xdr:blipFill>
      <xdr:spPr>
        <a:xfrm>
          <a:off x="2217254" y="12405687"/>
          <a:ext cx="241300" cy="184785"/>
        </a:xfrm>
        <a:prstGeom prst="rect">
          <a:avLst/>
        </a:prstGeom>
      </xdr:spPr>
    </xdr:pic>
    <xdr:clientData/>
  </xdr:twoCellAnchor>
  <xdr:twoCellAnchor editAs="oneCell">
    <xdr:from>
      <xdr:col>1</xdr:col>
      <xdr:colOff>169791</xdr:colOff>
      <xdr:row>70</xdr:row>
      <xdr:rowOff>120924</xdr:rowOff>
    </xdr:from>
    <xdr:to>
      <xdr:col>1</xdr:col>
      <xdr:colOff>334891</xdr:colOff>
      <xdr:row>71</xdr:row>
      <xdr:rowOff>90968</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xfrm>
          <a:off x="3264174" y="13108054"/>
          <a:ext cx="165100" cy="155575"/>
        </a:xfrm>
        <a:prstGeom prst="rect">
          <a:avLst/>
        </a:prstGeom>
      </xdr:spPr>
    </xdr:pic>
    <xdr:clientData/>
  </xdr:twoCellAnchor>
  <xdr:twoCellAnchor editAs="oneCell">
    <xdr:from>
      <xdr:col>0</xdr:col>
      <xdr:colOff>1335985</xdr:colOff>
      <xdr:row>72</xdr:row>
      <xdr:rowOff>147427</xdr:rowOff>
    </xdr:from>
    <xdr:to>
      <xdr:col>2</xdr:col>
      <xdr:colOff>120236</xdr:colOff>
      <xdr:row>77</xdr:row>
      <xdr:rowOff>93535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1335985" y="13505618"/>
          <a:ext cx="2740025" cy="873760"/>
        </a:xfrm>
        <a:prstGeom prst="rect">
          <a:avLst/>
        </a:prstGeom>
      </xdr:spPr>
    </xdr:pic>
    <xdr:clientData/>
  </xdr:twoCellAnchor>
  <xdr:twoCellAnchor editAs="oneCell">
    <xdr:from>
      <xdr:col>1</xdr:col>
      <xdr:colOff>534227</xdr:colOff>
      <xdr:row>78</xdr:row>
      <xdr:rowOff>120922</xdr:rowOff>
    </xdr:from>
    <xdr:to>
      <xdr:col>1</xdr:col>
      <xdr:colOff>698057</xdr:colOff>
      <xdr:row>79</xdr:row>
      <xdr:rowOff>103667</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3628610" y="14592296"/>
          <a:ext cx="163830" cy="168275"/>
        </a:xfrm>
        <a:prstGeom prst="rect">
          <a:avLst/>
        </a:prstGeom>
      </xdr:spPr>
    </xdr:pic>
    <xdr:clientData/>
  </xdr:twoCellAnchor>
  <xdr:twoCellAnchor editAs="oneCell">
    <xdr:from>
      <xdr:col>0</xdr:col>
      <xdr:colOff>1316107</xdr:colOff>
      <xdr:row>82</xdr:row>
      <xdr:rowOff>1654</xdr:rowOff>
    </xdr:from>
    <xdr:to>
      <xdr:col>3</xdr:col>
      <xdr:colOff>1086678</xdr:colOff>
      <xdr:row>93</xdr:row>
      <xdr:rowOff>24404</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0"/>
        <a:stretch>
          <a:fillRect/>
        </a:stretch>
      </xdr:blipFill>
      <xdr:spPr>
        <a:xfrm>
          <a:off x="1316107" y="15215150"/>
          <a:ext cx="4090780" cy="2063584"/>
        </a:xfrm>
        <a:prstGeom prst="rect">
          <a:avLst/>
        </a:prstGeom>
      </xdr:spPr>
    </xdr:pic>
    <xdr:clientData/>
  </xdr:twoCellAnchor>
  <xdr:twoCellAnchor editAs="oneCell">
    <xdr:from>
      <xdr:col>0</xdr:col>
      <xdr:colOff>2223880</xdr:colOff>
      <xdr:row>95</xdr:row>
      <xdr:rowOff>74538</xdr:rowOff>
    </xdr:from>
    <xdr:to>
      <xdr:col>0</xdr:col>
      <xdr:colOff>2465180</xdr:colOff>
      <xdr:row>96</xdr:row>
      <xdr:rowOff>73792</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a:stretch>
          <a:fillRect/>
        </a:stretch>
      </xdr:blipFill>
      <xdr:spPr>
        <a:xfrm>
          <a:off x="2223880" y="17699929"/>
          <a:ext cx="241300" cy="1847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19050</xdr:colOff>
      <xdr:row>23</xdr:row>
      <xdr:rowOff>152400</xdr:rowOff>
    </xdr:from>
    <xdr:to>
      <xdr:col>2</xdr:col>
      <xdr:colOff>1485900</xdr:colOff>
      <xdr:row>29</xdr:row>
      <xdr:rowOff>28575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247650" y="4200525"/>
          <a:ext cx="5629275" cy="101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50"/>
            <a:t>* To the greatest extent possible, these values are taken from or consistent with the "TIGER Benefit-Cost Analysis (BCA) Resource Guide" published by US DOT for the FY 2014 Transportation Investment Generating Economic Recovery (TIGER) application. The full resource guide is available online at: </a:t>
          </a:r>
          <a:r>
            <a:rPr lang="en-US" sz="1050" u="sng">
              <a:solidFill>
                <a:srgbClr val="0000FF"/>
              </a:solidFill>
            </a:rPr>
            <a:t>https://cms.dot.gov/sites/dot.gov/files/docs/BCA%20Resource%20Guide%20-%20November%202016.pdf</a:t>
          </a:r>
          <a:r>
            <a:rPr lang="en-US" sz="1050"/>
            <a:t>.</a:t>
          </a:r>
        </a:p>
      </xdr:txBody>
    </xdr:sp>
    <xdr:clientData/>
  </xdr:twoCellAnchor>
  <xdr:twoCellAnchor>
    <xdr:from>
      <xdr:col>0</xdr:col>
      <xdr:colOff>209551</xdr:colOff>
      <xdr:row>31</xdr:row>
      <xdr:rowOff>9526</xdr:rowOff>
    </xdr:from>
    <xdr:to>
      <xdr:col>3</xdr:col>
      <xdr:colOff>0</xdr:colOff>
      <xdr:row>38</xdr:row>
      <xdr:rowOff>76200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600-000003000000}"/>
            </a:ext>
          </a:extLst>
        </xdr:cNvPr>
        <xdr:cNvSpPr txBox="1"/>
      </xdr:nvSpPr>
      <xdr:spPr>
        <a:xfrm>
          <a:off x="209551" y="2486026"/>
          <a:ext cx="5695949" cy="1400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To the greatest extent possible, these values are taken from or consistent with the "Benefit-Cost Analysis Guidance for Discretionary</a:t>
          </a:r>
          <a:r>
            <a:rPr lang="en-US" sz="1100" baseline="0">
              <a:solidFill>
                <a:schemeClr val="dk1"/>
              </a:solidFill>
              <a:effectLst/>
              <a:latin typeface="+mn-lt"/>
              <a:ea typeface="+mn-ea"/>
              <a:cs typeface="+mn-cs"/>
            </a:rPr>
            <a:t> Grant Programs</a:t>
          </a:r>
          <a:r>
            <a:rPr lang="en-US" sz="1100">
              <a:solidFill>
                <a:schemeClr val="dk1"/>
              </a:solidFill>
              <a:effectLst/>
              <a:latin typeface="+mn-lt"/>
              <a:ea typeface="+mn-ea"/>
              <a:cs typeface="+mn-cs"/>
            </a:rPr>
            <a:t>" published by US DOT in February 2022. The full resource guide is available online athttps://www.transportation.gov/sites/dot.gov/files/2023-12/Benefit%20Cost%20Analysis%20Guidance%202024%20Update.pdf</a:t>
          </a:r>
          <a:endParaRPr lang="en-US" sz="1100" u="sng">
            <a:solidFill>
              <a:schemeClr val="dk1"/>
            </a:solidFill>
            <a:effectLst/>
            <a:latin typeface="+mn-lt"/>
            <a:ea typeface="+mn-ea"/>
            <a:cs typeface="+mn-cs"/>
          </a:endParaRPr>
        </a:p>
        <a:p>
          <a:r>
            <a:rPr lang="en-US" sz="1100" u="sng">
              <a:solidFill>
                <a:schemeClr val="dk1"/>
              </a:solidFill>
              <a:effectLst/>
              <a:latin typeface="+mn-lt"/>
              <a:ea typeface="+mn-ea"/>
              <a:cs typeface="+mn-cs"/>
            </a:rPr>
            <a:t> </a:t>
          </a:r>
          <a:endParaRPr lang="en-US" sz="1100" u="sng" baseline="0">
            <a:effectLst/>
            <a:latin typeface="Calibri" panose="020F05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gala\AppData\Local\Microsoft\Windows\Temporary%20Internet%20Files\Content.Outlook\YYKLTGMD\Crash%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Crashes"/>
      <sheetName val="VMT"/>
    </sheetNames>
    <sheetDataSet>
      <sheetData sheetId="0"/>
      <sheetData sheetId="1"/>
      <sheetData sheetId="2">
        <row r="45">
          <cell r="B45" t="str">
            <v>Harris</v>
          </cell>
          <cell r="C45" t="str">
            <v>Freeway/Toll</v>
          </cell>
          <cell r="D45">
            <v>61905697.659999996</v>
          </cell>
        </row>
        <row r="46">
          <cell r="B46" t="str">
            <v>Brazoria</v>
          </cell>
          <cell r="C46" t="str">
            <v>Freeway/Toll</v>
          </cell>
          <cell r="D46">
            <v>2618324.17</v>
          </cell>
        </row>
        <row r="47">
          <cell r="B47" t="str">
            <v>Fort Bend</v>
          </cell>
          <cell r="C47" t="str">
            <v>Freeway/Toll</v>
          </cell>
          <cell r="D47">
            <v>3738995.92</v>
          </cell>
        </row>
        <row r="48">
          <cell r="B48" t="str">
            <v>Waller</v>
          </cell>
          <cell r="C48" t="str">
            <v>Freeway/Toll</v>
          </cell>
          <cell r="D48">
            <v>1086148.24</v>
          </cell>
        </row>
        <row r="49">
          <cell r="B49" t="str">
            <v>Montgomery</v>
          </cell>
          <cell r="C49" t="str">
            <v>Freeway/Toll</v>
          </cell>
          <cell r="D49">
            <v>6586746.6100000003</v>
          </cell>
        </row>
        <row r="50">
          <cell r="B50" t="str">
            <v>Liberty</v>
          </cell>
          <cell r="C50" t="str">
            <v>Freeway/Toll</v>
          </cell>
          <cell r="D50">
            <v>453352.42</v>
          </cell>
        </row>
        <row r="51">
          <cell r="B51" t="str">
            <v>Chambers</v>
          </cell>
          <cell r="C51" t="str">
            <v>Freeway/Toll</v>
          </cell>
          <cell r="D51">
            <v>2686327.44</v>
          </cell>
        </row>
        <row r="52">
          <cell r="B52" t="str">
            <v xml:space="preserve">Galveston </v>
          </cell>
          <cell r="C52" t="str">
            <v>Freeway/Toll</v>
          </cell>
          <cell r="D52">
            <v>2141923.42</v>
          </cell>
        </row>
        <row r="56">
          <cell r="B56" t="str">
            <v>Harris</v>
          </cell>
          <cell r="C56" t="str">
            <v>Other</v>
          </cell>
          <cell r="D56">
            <v>68304614.209999993</v>
          </cell>
        </row>
        <row r="57">
          <cell r="B57" t="str">
            <v>Brazoria</v>
          </cell>
          <cell r="C57" t="str">
            <v>Other</v>
          </cell>
          <cell r="D57">
            <v>6349097.3499999996</v>
          </cell>
        </row>
        <row r="58">
          <cell r="B58" t="str">
            <v>Fort Bend</v>
          </cell>
          <cell r="C58" t="str">
            <v>Other</v>
          </cell>
          <cell r="D58">
            <v>11227441.77</v>
          </cell>
        </row>
        <row r="59">
          <cell r="B59" t="str">
            <v>Waller</v>
          </cell>
          <cell r="C59" t="str">
            <v>Other</v>
          </cell>
          <cell r="D59">
            <v>1071767.3799999999</v>
          </cell>
        </row>
        <row r="60">
          <cell r="B60" t="str">
            <v>Montgomery</v>
          </cell>
          <cell r="C60" t="str">
            <v>Other</v>
          </cell>
          <cell r="D60">
            <v>10802724.890000001</v>
          </cell>
        </row>
        <row r="61">
          <cell r="B61" t="str">
            <v>Liberty</v>
          </cell>
          <cell r="C61" t="str">
            <v>Other</v>
          </cell>
          <cell r="D61">
            <v>2461276.84</v>
          </cell>
        </row>
        <row r="62">
          <cell r="B62" t="str">
            <v>Chambers</v>
          </cell>
          <cell r="C62" t="str">
            <v>Other</v>
          </cell>
          <cell r="D62">
            <v>933781.03</v>
          </cell>
        </row>
        <row r="63">
          <cell r="B63" t="str">
            <v xml:space="preserve">Galveston </v>
          </cell>
          <cell r="C63" t="str">
            <v>Other</v>
          </cell>
          <cell r="D63">
            <v>4518307.46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moser.tamu.edu/docs/Texas.Guide.to.Accepted.Mobile.Source.Emission.Reduction.Strategies_August.2007.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transportation.gov/sites/dot.gov/files/2023-01/Benefit%20Cost%20Analysis%20Guidance%202023%20Upda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7"/>
  <sheetViews>
    <sheetView tabSelected="1" topLeftCell="A2" zoomScale="55" zoomScaleNormal="55" workbookViewId="0">
      <selection activeCell="R26" sqref="R26"/>
    </sheetView>
  </sheetViews>
  <sheetFormatPr defaultRowHeight="14.4" x14ac:dyDescent="0.3"/>
  <cols>
    <col min="1" max="1" width="45.109375" bestFit="1" customWidth="1"/>
    <col min="2" max="2" width="12.5546875" customWidth="1"/>
    <col min="3" max="3" width="5.33203125" customWidth="1"/>
    <col min="4" max="4" width="23.5546875" customWidth="1"/>
    <col min="5" max="5" width="15.33203125" bestFit="1" customWidth="1"/>
    <col min="6" max="6" width="13.33203125" customWidth="1"/>
    <col min="7" max="7" width="4.5546875" customWidth="1"/>
  </cols>
  <sheetData>
    <row r="7" spans="1:1" x14ac:dyDescent="0.3">
      <c r="A7" s="22"/>
    </row>
  </sheetData>
  <pageMargins left="0.25" right="0.25" top="0.75" bottom="0.75" header="0.3" footer="0.3"/>
  <pageSetup paperSize="1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FDEAC-D486-4AEC-BE83-F904CCE5D9AC}">
  <sheetPr>
    <tabColor theme="8"/>
  </sheetPr>
  <dimension ref="A1:BG1328"/>
  <sheetViews>
    <sheetView topLeftCell="N1" workbookViewId="0">
      <pane ySplit="1" topLeftCell="A239" activePane="bottomLeft" state="frozen"/>
      <selection activeCell="G1" sqref="G1"/>
      <selection pane="bottomLeft" activeCell="Z239" sqref="Z1:Z1048576"/>
    </sheetView>
  </sheetViews>
  <sheetFormatPr defaultRowHeight="14.4" x14ac:dyDescent="0.3"/>
  <sheetData>
    <row r="1" spans="1:59" x14ac:dyDescent="0.3">
      <c r="A1" t="s">
        <v>262</v>
      </c>
      <c r="B1" t="s">
        <v>263</v>
      </c>
      <c r="C1" t="s">
        <v>264</v>
      </c>
      <c r="D1" t="s">
        <v>265</v>
      </c>
      <c r="E1" t="s">
        <v>266</v>
      </c>
      <c r="F1" t="s">
        <v>267</v>
      </c>
      <c r="G1" t="s">
        <v>268</v>
      </c>
      <c r="H1" t="s">
        <v>269</v>
      </c>
      <c r="I1" t="s">
        <v>270</v>
      </c>
      <c r="J1" t="s">
        <v>271</v>
      </c>
      <c r="K1" t="s">
        <v>272</v>
      </c>
      <c r="L1" t="s">
        <v>273</v>
      </c>
      <c r="M1" t="s">
        <v>274</v>
      </c>
      <c r="N1" t="s">
        <v>275</v>
      </c>
      <c r="O1" t="s">
        <v>276</v>
      </c>
      <c r="P1" t="s">
        <v>277</v>
      </c>
      <c r="Q1" t="s">
        <v>278</v>
      </c>
      <c r="R1" t="s">
        <v>279</v>
      </c>
      <c r="S1" t="s">
        <v>280</v>
      </c>
      <c r="T1" t="s">
        <v>281</v>
      </c>
      <c r="U1" t="s">
        <v>282</v>
      </c>
      <c r="V1" t="s">
        <v>283</v>
      </c>
      <c r="W1" t="s">
        <v>284</v>
      </c>
      <c r="X1" t="s">
        <v>285</v>
      </c>
      <c r="Y1" t="s">
        <v>286</v>
      </c>
      <c r="Z1" t="s">
        <v>287</v>
      </c>
      <c r="AA1" t="s">
        <v>288</v>
      </c>
      <c r="AB1" t="s">
        <v>289</v>
      </c>
      <c r="AC1" t="s">
        <v>290</v>
      </c>
      <c r="AD1" t="s">
        <v>291</v>
      </c>
      <c r="AE1" t="s">
        <v>292</v>
      </c>
      <c r="AF1" t="s">
        <v>293</v>
      </c>
      <c r="AG1" t="s">
        <v>294</v>
      </c>
      <c r="AH1" t="s">
        <v>295</v>
      </c>
      <c r="AI1" t="s">
        <v>296</v>
      </c>
      <c r="AJ1" t="s">
        <v>297</v>
      </c>
      <c r="AK1" t="s">
        <v>298</v>
      </c>
      <c r="AL1" t="s">
        <v>299</v>
      </c>
      <c r="AM1" t="s">
        <v>300</v>
      </c>
      <c r="AN1" t="s">
        <v>301</v>
      </c>
      <c r="AO1" t="s">
        <v>302</v>
      </c>
      <c r="AP1" t="s">
        <v>303</v>
      </c>
      <c r="AQ1" t="s">
        <v>304</v>
      </c>
      <c r="AR1" t="s">
        <v>305</v>
      </c>
      <c r="AS1" t="s">
        <v>306</v>
      </c>
      <c r="AT1" t="s">
        <v>307</v>
      </c>
      <c r="AU1" t="s">
        <v>308</v>
      </c>
      <c r="AV1" t="s">
        <v>309</v>
      </c>
      <c r="AW1" t="s">
        <v>310</v>
      </c>
      <c r="AX1" t="s">
        <v>311</v>
      </c>
      <c r="AY1" t="s">
        <v>312</v>
      </c>
      <c r="AZ1" t="s">
        <v>313</v>
      </c>
      <c r="BA1" t="s">
        <v>314</v>
      </c>
      <c r="BB1" t="s">
        <v>315</v>
      </c>
      <c r="BC1" t="s">
        <v>316</v>
      </c>
      <c r="BD1" t="s">
        <v>317</v>
      </c>
      <c r="BE1" t="s">
        <v>402</v>
      </c>
      <c r="BF1" t="s">
        <v>403</v>
      </c>
      <c r="BG1" t="s">
        <v>404</v>
      </c>
    </row>
    <row r="2" spans="1:59" x14ac:dyDescent="0.3">
      <c r="A2">
        <v>3097</v>
      </c>
      <c r="B2">
        <v>16199016</v>
      </c>
      <c r="C2">
        <v>2018</v>
      </c>
      <c r="D2" s="62">
        <v>43111</v>
      </c>
      <c r="E2">
        <v>19</v>
      </c>
      <c r="F2" t="s">
        <v>425</v>
      </c>
      <c r="G2" t="s">
        <v>319</v>
      </c>
      <c r="H2" t="s">
        <v>453</v>
      </c>
      <c r="I2" t="s">
        <v>454</v>
      </c>
      <c r="J2">
        <v>29.695344810000002</v>
      </c>
      <c r="K2">
        <v>-95.300293109999998</v>
      </c>
      <c r="L2" t="s">
        <v>455</v>
      </c>
      <c r="M2" t="s">
        <v>431</v>
      </c>
      <c r="N2" t="s">
        <v>429</v>
      </c>
      <c r="O2" t="s">
        <v>456</v>
      </c>
      <c r="P2" t="s">
        <v>410</v>
      </c>
      <c r="Q2" t="s">
        <v>332</v>
      </c>
      <c r="R2" t="s">
        <v>438</v>
      </c>
      <c r="S2">
        <v>0</v>
      </c>
      <c r="T2">
        <v>0</v>
      </c>
      <c r="U2">
        <v>1</v>
      </c>
      <c r="V2">
        <v>0</v>
      </c>
      <c r="W2">
        <v>1</v>
      </c>
      <c r="X2">
        <v>1</v>
      </c>
      <c r="Y2">
        <v>0</v>
      </c>
      <c r="Z2">
        <v>0</v>
      </c>
      <c r="AA2">
        <v>0</v>
      </c>
      <c r="AB2">
        <v>0</v>
      </c>
      <c r="AC2">
        <v>0</v>
      </c>
      <c r="AD2">
        <v>1</v>
      </c>
      <c r="AE2">
        <v>0</v>
      </c>
      <c r="AF2">
        <v>0</v>
      </c>
      <c r="AG2">
        <v>0</v>
      </c>
      <c r="AH2">
        <v>0</v>
      </c>
      <c r="AI2">
        <v>1</v>
      </c>
      <c r="AJ2">
        <v>0</v>
      </c>
      <c r="AK2">
        <v>0</v>
      </c>
      <c r="AL2">
        <v>1</v>
      </c>
      <c r="AM2">
        <v>0</v>
      </c>
      <c r="AN2">
        <v>0</v>
      </c>
      <c r="AO2">
        <v>0</v>
      </c>
      <c r="AP2">
        <v>0</v>
      </c>
      <c r="AQ2">
        <v>0</v>
      </c>
      <c r="AR2">
        <v>0</v>
      </c>
      <c r="AS2">
        <v>0</v>
      </c>
      <c r="AT2">
        <v>0</v>
      </c>
      <c r="AU2" t="s">
        <v>242</v>
      </c>
      <c r="AV2" t="s">
        <v>457</v>
      </c>
      <c r="AW2" t="s">
        <v>328</v>
      </c>
      <c r="AX2" t="s">
        <v>458</v>
      </c>
      <c r="AY2">
        <v>77087</v>
      </c>
      <c r="AZ2">
        <v>48201332800</v>
      </c>
      <c r="BA2" t="s">
        <v>329</v>
      </c>
      <c r="BB2" t="s">
        <v>330</v>
      </c>
      <c r="BC2">
        <v>54257</v>
      </c>
      <c r="BD2">
        <v>2892</v>
      </c>
      <c r="BE2" t="s">
        <v>407</v>
      </c>
      <c r="BF2" t="s">
        <v>407</v>
      </c>
      <c r="BG2" t="s">
        <v>407</v>
      </c>
    </row>
    <row r="3" spans="1:59" x14ac:dyDescent="0.3">
      <c r="A3">
        <v>4510</v>
      </c>
      <c r="B3">
        <v>16205640</v>
      </c>
      <c r="C3">
        <v>2018</v>
      </c>
      <c r="D3" s="62">
        <v>43118</v>
      </c>
      <c r="E3">
        <v>18</v>
      </c>
      <c r="F3" t="s">
        <v>425</v>
      </c>
      <c r="G3" t="s">
        <v>319</v>
      </c>
      <c r="H3" t="s">
        <v>453</v>
      </c>
      <c r="I3" t="s">
        <v>419</v>
      </c>
      <c r="J3">
        <v>29.676704820000001</v>
      </c>
      <c r="K3">
        <v>-95.290663109999997</v>
      </c>
      <c r="L3" t="s">
        <v>321</v>
      </c>
      <c r="M3" t="s">
        <v>431</v>
      </c>
      <c r="N3" t="s">
        <v>448</v>
      </c>
      <c r="O3" t="s">
        <v>324</v>
      </c>
      <c r="P3" t="s">
        <v>283</v>
      </c>
      <c r="Q3" t="s">
        <v>331</v>
      </c>
      <c r="R3" t="s">
        <v>326</v>
      </c>
      <c r="S3">
        <v>0</v>
      </c>
      <c r="T3">
        <v>0</v>
      </c>
      <c r="U3">
        <v>0</v>
      </c>
      <c r="V3">
        <v>2</v>
      </c>
      <c r="W3">
        <v>2</v>
      </c>
      <c r="X3">
        <v>0</v>
      </c>
      <c r="Y3">
        <v>0</v>
      </c>
      <c r="Z3">
        <v>0</v>
      </c>
      <c r="AA3">
        <v>0</v>
      </c>
      <c r="AB3">
        <v>0</v>
      </c>
      <c r="AC3">
        <v>2</v>
      </c>
      <c r="AD3">
        <v>0</v>
      </c>
      <c r="AE3">
        <v>2</v>
      </c>
      <c r="AF3">
        <v>0</v>
      </c>
      <c r="AG3">
        <v>0</v>
      </c>
      <c r="AH3">
        <v>0</v>
      </c>
      <c r="AI3">
        <v>0</v>
      </c>
      <c r="AJ3">
        <v>0</v>
      </c>
      <c r="AK3">
        <v>0</v>
      </c>
      <c r="AL3">
        <v>0</v>
      </c>
      <c r="AM3">
        <v>0</v>
      </c>
      <c r="AN3">
        <v>0</v>
      </c>
      <c r="AO3">
        <v>0</v>
      </c>
      <c r="AP3">
        <v>0</v>
      </c>
      <c r="AQ3">
        <v>0</v>
      </c>
      <c r="AR3">
        <v>0</v>
      </c>
      <c r="AS3">
        <v>0</v>
      </c>
      <c r="AT3">
        <v>0</v>
      </c>
      <c r="AU3" t="s">
        <v>242</v>
      </c>
      <c r="AV3" t="s">
        <v>327</v>
      </c>
      <c r="AW3" t="s">
        <v>328</v>
      </c>
      <c r="AX3" t="s">
        <v>458</v>
      </c>
      <c r="AY3">
        <v>77087</v>
      </c>
      <c r="AZ3">
        <v>48201332600</v>
      </c>
      <c r="BA3" t="s">
        <v>329</v>
      </c>
      <c r="BB3" t="s">
        <v>330</v>
      </c>
      <c r="BC3">
        <v>158757</v>
      </c>
      <c r="BD3">
        <v>2840</v>
      </c>
      <c r="BE3" t="s">
        <v>407</v>
      </c>
      <c r="BF3" t="s">
        <v>407</v>
      </c>
      <c r="BG3" t="s">
        <v>407</v>
      </c>
    </row>
    <row r="4" spans="1:59" x14ac:dyDescent="0.3">
      <c r="A4">
        <v>6159</v>
      </c>
      <c r="B4">
        <v>16213780</v>
      </c>
      <c r="C4">
        <v>2018</v>
      </c>
      <c r="D4" s="62">
        <v>43121</v>
      </c>
      <c r="E4">
        <v>16</v>
      </c>
      <c r="F4" t="s">
        <v>408</v>
      </c>
      <c r="G4" t="s">
        <v>319</v>
      </c>
      <c r="H4" t="s">
        <v>453</v>
      </c>
      <c r="I4" t="s">
        <v>427</v>
      </c>
      <c r="J4">
        <v>29.69215414</v>
      </c>
      <c r="K4">
        <v>-95.298836829999999</v>
      </c>
      <c r="L4" t="s">
        <v>321</v>
      </c>
      <c r="M4" t="s">
        <v>322</v>
      </c>
      <c r="N4" t="s">
        <v>323</v>
      </c>
      <c r="O4" t="s">
        <v>324</v>
      </c>
      <c r="P4" t="s">
        <v>283</v>
      </c>
      <c r="Q4" t="s">
        <v>332</v>
      </c>
      <c r="R4" t="s">
        <v>406</v>
      </c>
      <c r="S4">
        <v>0</v>
      </c>
      <c r="T4">
        <v>0</v>
      </c>
      <c r="U4">
        <v>0</v>
      </c>
      <c r="V4">
        <v>1</v>
      </c>
      <c r="W4">
        <v>1</v>
      </c>
      <c r="X4">
        <v>0</v>
      </c>
      <c r="Y4">
        <v>2</v>
      </c>
      <c r="Z4">
        <v>0</v>
      </c>
      <c r="AA4">
        <v>0</v>
      </c>
      <c r="AB4">
        <v>0</v>
      </c>
      <c r="AC4">
        <v>1</v>
      </c>
      <c r="AD4">
        <v>0</v>
      </c>
      <c r="AE4">
        <v>1</v>
      </c>
      <c r="AF4">
        <v>2</v>
      </c>
      <c r="AG4">
        <v>0</v>
      </c>
      <c r="AH4">
        <v>0</v>
      </c>
      <c r="AI4">
        <v>0</v>
      </c>
      <c r="AJ4">
        <v>0</v>
      </c>
      <c r="AK4">
        <v>0</v>
      </c>
      <c r="AL4">
        <v>0</v>
      </c>
      <c r="AM4">
        <v>0</v>
      </c>
      <c r="AN4">
        <v>0</v>
      </c>
      <c r="AO4">
        <v>0</v>
      </c>
      <c r="AP4">
        <v>0</v>
      </c>
      <c r="AQ4">
        <v>0</v>
      </c>
      <c r="AR4">
        <v>0</v>
      </c>
      <c r="AS4">
        <v>0</v>
      </c>
      <c r="AT4">
        <v>0</v>
      </c>
      <c r="AU4" t="s">
        <v>242</v>
      </c>
      <c r="AV4" t="s">
        <v>457</v>
      </c>
      <c r="AW4" t="s">
        <v>328</v>
      </c>
      <c r="AX4" t="s">
        <v>458</v>
      </c>
      <c r="AY4">
        <v>77087</v>
      </c>
      <c r="AZ4">
        <v>48201332900</v>
      </c>
      <c r="BA4" t="s">
        <v>329</v>
      </c>
      <c r="BB4" t="s">
        <v>330</v>
      </c>
      <c r="BC4">
        <v>54037</v>
      </c>
      <c r="BD4">
        <v>2892</v>
      </c>
      <c r="BE4" t="s">
        <v>407</v>
      </c>
      <c r="BF4" t="s">
        <v>407</v>
      </c>
      <c r="BG4" t="s">
        <v>407</v>
      </c>
    </row>
    <row r="5" spans="1:59" x14ac:dyDescent="0.3">
      <c r="A5">
        <v>6161</v>
      </c>
      <c r="B5">
        <v>16213785</v>
      </c>
      <c r="C5">
        <v>2018</v>
      </c>
      <c r="D5" s="62">
        <v>43122</v>
      </c>
      <c r="E5">
        <v>19</v>
      </c>
      <c r="F5" t="s">
        <v>417</v>
      </c>
      <c r="G5" t="s">
        <v>319</v>
      </c>
      <c r="H5" t="s">
        <v>453</v>
      </c>
      <c r="I5" t="s">
        <v>437</v>
      </c>
      <c r="J5">
        <v>29.68515481</v>
      </c>
      <c r="K5">
        <v>-95.296383109999994</v>
      </c>
      <c r="L5" t="s">
        <v>321</v>
      </c>
      <c r="M5" t="s">
        <v>431</v>
      </c>
      <c r="N5" t="s">
        <v>429</v>
      </c>
      <c r="O5" t="s">
        <v>324</v>
      </c>
      <c r="P5" t="s">
        <v>414</v>
      </c>
      <c r="Q5" t="s">
        <v>331</v>
      </c>
      <c r="R5" t="s">
        <v>415</v>
      </c>
      <c r="S5">
        <v>0</v>
      </c>
      <c r="T5">
        <v>0</v>
      </c>
      <c r="U5">
        <v>0</v>
      </c>
      <c r="V5">
        <v>0</v>
      </c>
      <c r="W5">
        <v>0</v>
      </c>
      <c r="X5">
        <v>2</v>
      </c>
      <c r="Y5">
        <v>0</v>
      </c>
      <c r="Z5">
        <v>0</v>
      </c>
      <c r="AA5">
        <v>0</v>
      </c>
      <c r="AB5">
        <v>0</v>
      </c>
      <c r="AC5">
        <v>0</v>
      </c>
      <c r="AD5">
        <v>2</v>
      </c>
      <c r="AE5">
        <v>0</v>
      </c>
      <c r="AF5">
        <v>0</v>
      </c>
      <c r="AG5">
        <v>0</v>
      </c>
      <c r="AH5">
        <v>0</v>
      </c>
      <c r="AI5">
        <v>0</v>
      </c>
      <c r="AJ5">
        <v>0</v>
      </c>
      <c r="AK5">
        <v>0</v>
      </c>
      <c r="AL5">
        <v>0</v>
      </c>
      <c r="AM5">
        <v>0</v>
      </c>
      <c r="AN5">
        <v>0</v>
      </c>
      <c r="AO5">
        <v>0</v>
      </c>
      <c r="AP5">
        <v>0</v>
      </c>
      <c r="AQ5">
        <v>0</v>
      </c>
      <c r="AR5">
        <v>0</v>
      </c>
      <c r="AS5">
        <v>0</v>
      </c>
      <c r="AT5">
        <v>0</v>
      </c>
      <c r="AU5" t="s">
        <v>242</v>
      </c>
      <c r="AV5" t="s">
        <v>457</v>
      </c>
      <c r="AW5" t="s">
        <v>328</v>
      </c>
      <c r="AX5" t="s">
        <v>458</v>
      </c>
      <c r="AY5">
        <v>77087</v>
      </c>
      <c r="AZ5">
        <v>48201332800</v>
      </c>
      <c r="BA5" t="s">
        <v>329</v>
      </c>
      <c r="BB5" t="s">
        <v>330</v>
      </c>
      <c r="BC5">
        <v>53817</v>
      </c>
      <c r="BD5">
        <v>2840</v>
      </c>
      <c r="BE5" t="s">
        <v>407</v>
      </c>
      <c r="BF5" t="s">
        <v>407</v>
      </c>
      <c r="BG5" t="s">
        <v>407</v>
      </c>
    </row>
    <row r="6" spans="1:59" x14ac:dyDescent="0.3">
      <c r="A6">
        <v>7450</v>
      </c>
      <c r="B6">
        <v>16218741</v>
      </c>
      <c r="C6">
        <v>2018</v>
      </c>
      <c r="D6" s="62">
        <v>43126</v>
      </c>
      <c r="E6">
        <v>5</v>
      </c>
      <c r="F6" t="s">
        <v>418</v>
      </c>
      <c r="G6" t="s">
        <v>319</v>
      </c>
      <c r="H6" t="s">
        <v>453</v>
      </c>
      <c r="I6" t="s">
        <v>427</v>
      </c>
      <c r="J6">
        <v>29.691314810000002</v>
      </c>
      <c r="K6">
        <v>-95.298783110000002</v>
      </c>
      <c r="L6" t="s">
        <v>321</v>
      </c>
      <c r="M6" t="s">
        <v>322</v>
      </c>
      <c r="N6" t="s">
        <v>429</v>
      </c>
      <c r="O6" t="s">
        <v>324</v>
      </c>
      <c r="P6" t="s">
        <v>414</v>
      </c>
      <c r="Q6" t="s">
        <v>331</v>
      </c>
      <c r="R6" t="s">
        <v>434</v>
      </c>
      <c r="S6">
        <v>0</v>
      </c>
      <c r="T6">
        <v>0</v>
      </c>
      <c r="U6">
        <v>0</v>
      </c>
      <c r="V6">
        <v>0</v>
      </c>
      <c r="W6">
        <v>0</v>
      </c>
      <c r="X6">
        <v>2</v>
      </c>
      <c r="Y6">
        <v>0</v>
      </c>
      <c r="Z6">
        <v>0</v>
      </c>
      <c r="AA6">
        <v>0</v>
      </c>
      <c r="AB6">
        <v>0</v>
      </c>
      <c r="AC6">
        <v>0</v>
      </c>
      <c r="AD6">
        <v>2</v>
      </c>
      <c r="AE6">
        <v>0</v>
      </c>
      <c r="AF6">
        <v>0</v>
      </c>
      <c r="AG6">
        <v>0</v>
      </c>
      <c r="AH6">
        <v>0</v>
      </c>
      <c r="AI6">
        <v>0</v>
      </c>
      <c r="AJ6">
        <v>0</v>
      </c>
      <c r="AK6">
        <v>0</v>
      </c>
      <c r="AL6">
        <v>0</v>
      </c>
      <c r="AM6">
        <v>0</v>
      </c>
      <c r="AN6">
        <v>0</v>
      </c>
      <c r="AO6">
        <v>0</v>
      </c>
      <c r="AP6">
        <v>0</v>
      </c>
      <c r="AQ6">
        <v>0</v>
      </c>
      <c r="AR6">
        <v>0</v>
      </c>
      <c r="AS6">
        <v>0</v>
      </c>
      <c r="AT6">
        <v>0</v>
      </c>
      <c r="AU6" t="s">
        <v>242</v>
      </c>
      <c r="AV6" t="s">
        <v>457</v>
      </c>
      <c r="AW6" t="s">
        <v>328</v>
      </c>
      <c r="AX6" t="s">
        <v>458</v>
      </c>
      <c r="AY6">
        <v>77087</v>
      </c>
      <c r="AZ6">
        <v>48201332900</v>
      </c>
      <c r="BA6" t="s">
        <v>329</v>
      </c>
      <c r="BB6" t="s">
        <v>330</v>
      </c>
      <c r="BC6">
        <v>54037</v>
      </c>
      <c r="BD6">
        <v>2892</v>
      </c>
      <c r="BE6" t="s">
        <v>407</v>
      </c>
      <c r="BF6" t="s">
        <v>407</v>
      </c>
      <c r="BG6" t="s">
        <v>407</v>
      </c>
    </row>
    <row r="7" spans="1:59" x14ac:dyDescent="0.3">
      <c r="A7">
        <v>10349</v>
      </c>
      <c r="B7">
        <v>16230931</v>
      </c>
      <c r="C7">
        <v>2018</v>
      </c>
      <c r="D7" s="62">
        <v>43128</v>
      </c>
      <c r="E7">
        <v>18</v>
      </c>
      <c r="F7" t="s">
        <v>408</v>
      </c>
      <c r="G7" t="s">
        <v>319</v>
      </c>
      <c r="H7" t="s">
        <v>453</v>
      </c>
      <c r="I7" t="s">
        <v>454</v>
      </c>
      <c r="J7">
        <v>29.69104076</v>
      </c>
      <c r="K7">
        <v>-95.298776509999996</v>
      </c>
      <c r="L7" t="s">
        <v>321</v>
      </c>
      <c r="M7" t="s">
        <v>431</v>
      </c>
      <c r="N7" t="s">
        <v>323</v>
      </c>
      <c r="O7" t="s">
        <v>456</v>
      </c>
      <c r="P7" t="s">
        <v>459</v>
      </c>
      <c r="Q7" t="s">
        <v>332</v>
      </c>
      <c r="R7" t="s">
        <v>460</v>
      </c>
      <c r="S7">
        <v>1</v>
      </c>
      <c r="T7">
        <v>0</v>
      </c>
      <c r="U7">
        <v>0</v>
      </c>
      <c r="V7">
        <v>0</v>
      </c>
      <c r="W7">
        <v>0</v>
      </c>
      <c r="X7">
        <v>2</v>
      </c>
      <c r="Y7">
        <v>0</v>
      </c>
      <c r="Z7">
        <v>0</v>
      </c>
      <c r="AA7">
        <v>0</v>
      </c>
      <c r="AB7">
        <v>0</v>
      </c>
      <c r="AC7">
        <v>0</v>
      </c>
      <c r="AD7">
        <v>2</v>
      </c>
      <c r="AE7">
        <v>0</v>
      </c>
      <c r="AF7">
        <v>0</v>
      </c>
      <c r="AG7">
        <v>1</v>
      </c>
      <c r="AH7">
        <v>0</v>
      </c>
      <c r="AI7">
        <v>0</v>
      </c>
      <c r="AJ7">
        <v>0</v>
      </c>
      <c r="AK7">
        <v>0</v>
      </c>
      <c r="AL7">
        <v>0</v>
      </c>
      <c r="AM7">
        <v>0</v>
      </c>
      <c r="AN7">
        <v>0</v>
      </c>
      <c r="AO7">
        <v>0</v>
      </c>
      <c r="AP7">
        <v>0</v>
      </c>
      <c r="AQ7">
        <v>0</v>
      </c>
      <c r="AR7">
        <v>0</v>
      </c>
      <c r="AS7">
        <v>0</v>
      </c>
      <c r="AT7">
        <v>0</v>
      </c>
      <c r="AU7" t="s">
        <v>242</v>
      </c>
      <c r="AV7" t="s">
        <v>457</v>
      </c>
      <c r="AW7" t="s">
        <v>328</v>
      </c>
      <c r="AX7" t="s">
        <v>458</v>
      </c>
      <c r="AY7">
        <v>77087</v>
      </c>
      <c r="AZ7">
        <v>48201332900</v>
      </c>
      <c r="BA7" t="s">
        <v>329</v>
      </c>
      <c r="BB7" t="s">
        <v>330</v>
      </c>
      <c r="BC7">
        <v>54037</v>
      </c>
      <c r="BD7">
        <v>2892</v>
      </c>
      <c r="BE7" t="s">
        <v>407</v>
      </c>
      <c r="BF7" t="s">
        <v>407</v>
      </c>
      <c r="BG7" t="s">
        <v>407</v>
      </c>
    </row>
    <row r="8" spans="1:59" x14ac:dyDescent="0.3">
      <c r="A8">
        <v>12727</v>
      </c>
      <c r="B8">
        <v>16241329</v>
      </c>
      <c r="C8">
        <v>2018</v>
      </c>
      <c r="D8" s="62">
        <v>43139</v>
      </c>
      <c r="E8">
        <v>20</v>
      </c>
      <c r="F8" t="s">
        <v>425</v>
      </c>
      <c r="G8" t="s">
        <v>319</v>
      </c>
      <c r="H8" t="s">
        <v>453</v>
      </c>
      <c r="I8" t="s">
        <v>437</v>
      </c>
      <c r="J8">
        <v>29.676935749999998</v>
      </c>
      <c r="K8">
        <v>-95.290833109999994</v>
      </c>
      <c r="L8" t="s">
        <v>321</v>
      </c>
      <c r="M8" t="s">
        <v>431</v>
      </c>
      <c r="N8" t="s">
        <v>422</v>
      </c>
      <c r="O8" t="s">
        <v>324</v>
      </c>
      <c r="P8" t="s">
        <v>414</v>
      </c>
      <c r="Q8" t="s">
        <v>332</v>
      </c>
      <c r="R8" t="s">
        <v>426</v>
      </c>
      <c r="S8">
        <v>0</v>
      </c>
      <c r="T8">
        <v>0</v>
      </c>
      <c r="U8">
        <v>0</v>
      </c>
      <c r="V8">
        <v>0</v>
      </c>
      <c r="W8">
        <v>0</v>
      </c>
      <c r="X8">
        <v>2</v>
      </c>
      <c r="Y8">
        <v>0</v>
      </c>
      <c r="Z8">
        <v>0</v>
      </c>
      <c r="AA8">
        <v>0</v>
      </c>
      <c r="AB8">
        <v>0</v>
      </c>
      <c r="AC8">
        <v>0</v>
      </c>
      <c r="AD8">
        <v>2</v>
      </c>
      <c r="AE8">
        <v>0</v>
      </c>
      <c r="AF8">
        <v>0</v>
      </c>
      <c r="AG8">
        <v>0</v>
      </c>
      <c r="AH8">
        <v>0</v>
      </c>
      <c r="AI8">
        <v>0</v>
      </c>
      <c r="AJ8">
        <v>0</v>
      </c>
      <c r="AK8">
        <v>0</v>
      </c>
      <c r="AL8">
        <v>0</v>
      </c>
      <c r="AM8">
        <v>0</v>
      </c>
      <c r="AN8">
        <v>0</v>
      </c>
      <c r="AO8">
        <v>0</v>
      </c>
      <c r="AP8">
        <v>0</v>
      </c>
      <c r="AQ8">
        <v>0</v>
      </c>
      <c r="AR8">
        <v>0</v>
      </c>
      <c r="AS8">
        <v>0</v>
      </c>
      <c r="AT8">
        <v>0</v>
      </c>
      <c r="AU8" t="s">
        <v>242</v>
      </c>
      <c r="AV8" t="s">
        <v>327</v>
      </c>
      <c r="AW8" t="s">
        <v>328</v>
      </c>
      <c r="AX8" t="s">
        <v>458</v>
      </c>
      <c r="AY8">
        <v>77087</v>
      </c>
      <c r="AZ8">
        <v>48201332600</v>
      </c>
      <c r="BA8" t="s">
        <v>329</v>
      </c>
      <c r="BB8" t="s">
        <v>330</v>
      </c>
      <c r="BC8">
        <v>158757</v>
      </c>
      <c r="BD8">
        <v>2840</v>
      </c>
      <c r="BE8" t="s">
        <v>407</v>
      </c>
      <c r="BF8" t="s">
        <v>407</v>
      </c>
      <c r="BG8" t="s">
        <v>407</v>
      </c>
    </row>
    <row r="9" spans="1:59" x14ac:dyDescent="0.3">
      <c r="A9">
        <v>14545</v>
      </c>
      <c r="B9">
        <v>16248515</v>
      </c>
      <c r="C9">
        <v>2018</v>
      </c>
      <c r="D9" s="62">
        <v>43137</v>
      </c>
      <c r="E9">
        <v>7</v>
      </c>
      <c r="F9" t="s">
        <v>318</v>
      </c>
      <c r="G9" t="s">
        <v>319</v>
      </c>
      <c r="H9" t="s">
        <v>453</v>
      </c>
      <c r="I9" t="s">
        <v>437</v>
      </c>
      <c r="J9">
        <v>29.67905481</v>
      </c>
      <c r="K9">
        <v>-95.292363109999997</v>
      </c>
      <c r="L9" t="s">
        <v>420</v>
      </c>
      <c r="M9" t="s">
        <v>322</v>
      </c>
      <c r="N9" t="s">
        <v>323</v>
      </c>
      <c r="O9" t="s">
        <v>324</v>
      </c>
      <c r="P9" t="s">
        <v>414</v>
      </c>
      <c r="Q9" t="s">
        <v>332</v>
      </c>
      <c r="R9" t="s">
        <v>406</v>
      </c>
      <c r="S9">
        <v>0</v>
      </c>
      <c r="T9">
        <v>0</v>
      </c>
      <c r="U9">
        <v>0</v>
      </c>
      <c r="V9">
        <v>0</v>
      </c>
      <c r="W9">
        <v>0</v>
      </c>
      <c r="X9">
        <v>2</v>
      </c>
      <c r="Y9">
        <v>0</v>
      </c>
      <c r="Z9">
        <v>0</v>
      </c>
      <c r="AA9">
        <v>0</v>
      </c>
      <c r="AB9">
        <v>0</v>
      </c>
      <c r="AC9">
        <v>0</v>
      </c>
      <c r="AD9">
        <v>2</v>
      </c>
      <c r="AE9">
        <v>0</v>
      </c>
      <c r="AF9">
        <v>0</v>
      </c>
      <c r="AG9">
        <v>0</v>
      </c>
      <c r="AH9">
        <v>0</v>
      </c>
      <c r="AI9">
        <v>0</v>
      </c>
      <c r="AJ9">
        <v>0</v>
      </c>
      <c r="AK9">
        <v>0</v>
      </c>
      <c r="AL9">
        <v>0</v>
      </c>
      <c r="AM9">
        <v>0</v>
      </c>
      <c r="AN9">
        <v>0</v>
      </c>
      <c r="AO9">
        <v>0</v>
      </c>
      <c r="AP9">
        <v>0</v>
      </c>
      <c r="AQ9">
        <v>0</v>
      </c>
      <c r="AR9">
        <v>0</v>
      </c>
      <c r="AS9">
        <v>0</v>
      </c>
      <c r="AT9">
        <v>0</v>
      </c>
      <c r="AU9" t="s">
        <v>242</v>
      </c>
      <c r="AV9" t="s">
        <v>327</v>
      </c>
      <c r="AW9" t="s">
        <v>328</v>
      </c>
      <c r="AX9" t="s">
        <v>458</v>
      </c>
      <c r="AY9">
        <v>77087</v>
      </c>
      <c r="AZ9">
        <v>48201332600</v>
      </c>
      <c r="BA9" t="s">
        <v>329</v>
      </c>
      <c r="BB9" t="s">
        <v>330</v>
      </c>
      <c r="BC9">
        <v>158977</v>
      </c>
      <c r="BD9">
        <v>2840</v>
      </c>
      <c r="BE9" t="s">
        <v>407</v>
      </c>
      <c r="BF9" t="s">
        <v>407</v>
      </c>
      <c r="BG9" t="s">
        <v>407</v>
      </c>
    </row>
    <row r="10" spans="1:59" x14ac:dyDescent="0.3">
      <c r="A10">
        <v>25097</v>
      </c>
      <c r="B10">
        <v>16295143</v>
      </c>
      <c r="C10">
        <v>2018</v>
      </c>
      <c r="D10" s="62">
        <v>43162</v>
      </c>
      <c r="E10">
        <v>21</v>
      </c>
      <c r="F10" t="s">
        <v>436</v>
      </c>
      <c r="G10" t="s">
        <v>319</v>
      </c>
      <c r="H10" t="s">
        <v>453</v>
      </c>
      <c r="I10" t="s">
        <v>427</v>
      </c>
      <c r="J10">
        <v>29.681424809999999</v>
      </c>
      <c r="K10">
        <v>-95.294023109999998</v>
      </c>
      <c r="L10" t="s">
        <v>321</v>
      </c>
      <c r="M10" t="s">
        <v>431</v>
      </c>
      <c r="N10" t="s">
        <v>444</v>
      </c>
      <c r="O10" t="s">
        <v>324</v>
      </c>
      <c r="P10" t="s">
        <v>283</v>
      </c>
      <c r="Q10" t="s">
        <v>331</v>
      </c>
      <c r="R10" t="s">
        <v>434</v>
      </c>
      <c r="S10">
        <v>0</v>
      </c>
      <c r="T10">
        <v>0</v>
      </c>
      <c r="U10">
        <v>0</v>
      </c>
      <c r="V10">
        <v>2</v>
      </c>
      <c r="W10">
        <v>2</v>
      </c>
      <c r="X10">
        <v>1</v>
      </c>
      <c r="Y10">
        <v>0</v>
      </c>
      <c r="Z10">
        <v>0</v>
      </c>
      <c r="AA10">
        <v>0</v>
      </c>
      <c r="AB10">
        <v>0</v>
      </c>
      <c r="AC10">
        <v>2</v>
      </c>
      <c r="AD10">
        <v>1</v>
      </c>
      <c r="AE10">
        <v>2</v>
      </c>
      <c r="AF10">
        <v>0</v>
      </c>
      <c r="AG10">
        <v>0</v>
      </c>
      <c r="AH10">
        <v>0</v>
      </c>
      <c r="AI10">
        <v>0</v>
      </c>
      <c r="AJ10">
        <v>0</v>
      </c>
      <c r="AK10">
        <v>0</v>
      </c>
      <c r="AL10">
        <v>0</v>
      </c>
      <c r="AM10">
        <v>0</v>
      </c>
      <c r="AN10">
        <v>0</v>
      </c>
      <c r="AO10">
        <v>0</v>
      </c>
      <c r="AP10">
        <v>0</v>
      </c>
      <c r="AQ10">
        <v>0</v>
      </c>
      <c r="AR10">
        <v>0</v>
      </c>
      <c r="AS10">
        <v>0</v>
      </c>
      <c r="AT10">
        <v>0</v>
      </c>
      <c r="AU10" t="s">
        <v>242</v>
      </c>
      <c r="AV10" t="s">
        <v>457</v>
      </c>
      <c r="AW10" t="s">
        <v>328</v>
      </c>
      <c r="AX10" t="s">
        <v>458</v>
      </c>
      <c r="AY10">
        <v>77087</v>
      </c>
      <c r="AZ10">
        <v>48201332600</v>
      </c>
      <c r="BA10" t="s">
        <v>329</v>
      </c>
      <c r="BB10" t="s">
        <v>330</v>
      </c>
      <c r="BC10">
        <v>158977</v>
      </c>
      <c r="BD10">
        <v>2840</v>
      </c>
      <c r="BE10" t="s">
        <v>407</v>
      </c>
      <c r="BF10" t="s">
        <v>407</v>
      </c>
      <c r="BG10" t="s">
        <v>407</v>
      </c>
    </row>
    <row r="11" spans="1:59" x14ac:dyDescent="0.3">
      <c r="A11">
        <v>25224</v>
      </c>
      <c r="B11">
        <v>16295524</v>
      </c>
      <c r="C11">
        <v>2018</v>
      </c>
      <c r="D11" s="62">
        <v>43158</v>
      </c>
      <c r="E11">
        <v>7</v>
      </c>
      <c r="F11" t="s">
        <v>318</v>
      </c>
      <c r="G11" t="s">
        <v>319</v>
      </c>
      <c r="H11" t="s">
        <v>453</v>
      </c>
      <c r="I11" t="s">
        <v>427</v>
      </c>
      <c r="J11">
        <v>29.6860848</v>
      </c>
      <c r="K11">
        <v>-95.296923100000001</v>
      </c>
      <c r="L11" t="s">
        <v>420</v>
      </c>
      <c r="M11" t="s">
        <v>322</v>
      </c>
      <c r="N11" t="s">
        <v>422</v>
      </c>
      <c r="O11" t="s">
        <v>324</v>
      </c>
      <c r="P11" t="s">
        <v>414</v>
      </c>
      <c r="Q11" t="s">
        <v>325</v>
      </c>
      <c r="R11" t="s">
        <v>412</v>
      </c>
      <c r="S11">
        <v>0</v>
      </c>
      <c r="T11">
        <v>0</v>
      </c>
      <c r="U11">
        <v>0</v>
      </c>
      <c r="V11">
        <v>0</v>
      </c>
      <c r="W11">
        <v>0</v>
      </c>
      <c r="X11">
        <v>2</v>
      </c>
      <c r="Y11">
        <v>0</v>
      </c>
      <c r="Z11">
        <v>0</v>
      </c>
      <c r="AA11">
        <v>0</v>
      </c>
      <c r="AB11">
        <v>0</v>
      </c>
      <c r="AC11">
        <v>0</v>
      </c>
      <c r="AD11">
        <v>2</v>
      </c>
      <c r="AE11">
        <v>0</v>
      </c>
      <c r="AF11">
        <v>0</v>
      </c>
      <c r="AG11">
        <v>0</v>
      </c>
      <c r="AH11">
        <v>0</v>
      </c>
      <c r="AI11">
        <v>0</v>
      </c>
      <c r="AJ11">
        <v>0</v>
      </c>
      <c r="AK11">
        <v>0</v>
      </c>
      <c r="AL11">
        <v>0</v>
      </c>
      <c r="AM11">
        <v>0</v>
      </c>
      <c r="AN11">
        <v>0</v>
      </c>
      <c r="AO11">
        <v>0</v>
      </c>
      <c r="AP11">
        <v>0</v>
      </c>
      <c r="AQ11">
        <v>0</v>
      </c>
      <c r="AR11">
        <v>0</v>
      </c>
      <c r="AS11">
        <v>0</v>
      </c>
      <c r="AT11">
        <v>0</v>
      </c>
      <c r="AU11" t="s">
        <v>242</v>
      </c>
      <c r="AV11" t="s">
        <v>457</v>
      </c>
      <c r="AW11" t="s">
        <v>328</v>
      </c>
      <c r="AX11" t="s">
        <v>458</v>
      </c>
      <c r="AY11">
        <v>77087</v>
      </c>
      <c r="AZ11">
        <v>48201332800</v>
      </c>
      <c r="BA11" t="s">
        <v>329</v>
      </c>
      <c r="BB11" t="s">
        <v>330</v>
      </c>
      <c r="BC11">
        <v>53817</v>
      </c>
      <c r="BD11">
        <v>2840</v>
      </c>
      <c r="BE11" t="s">
        <v>407</v>
      </c>
      <c r="BF11" t="s">
        <v>407</v>
      </c>
      <c r="BG11" t="s">
        <v>407</v>
      </c>
    </row>
    <row r="12" spans="1:59" x14ac:dyDescent="0.3">
      <c r="A12">
        <v>27776</v>
      </c>
      <c r="B12">
        <v>16304955</v>
      </c>
      <c r="C12">
        <v>2018</v>
      </c>
      <c r="D12" s="62">
        <v>43170</v>
      </c>
      <c r="E12">
        <v>1</v>
      </c>
      <c r="F12" t="s">
        <v>408</v>
      </c>
      <c r="G12" t="s">
        <v>319</v>
      </c>
      <c r="H12" t="s">
        <v>461</v>
      </c>
      <c r="I12" t="s">
        <v>428</v>
      </c>
      <c r="J12">
        <v>29.68073966</v>
      </c>
      <c r="K12">
        <v>-95.293395309999994</v>
      </c>
      <c r="L12" t="s">
        <v>321</v>
      </c>
      <c r="M12" t="s">
        <v>424</v>
      </c>
      <c r="N12" t="s">
        <v>422</v>
      </c>
      <c r="O12" t="s">
        <v>462</v>
      </c>
      <c r="P12" t="s">
        <v>428</v>
      </c>
      <c r="Q12" t="s">
        <v>332</v>
      </c>
      <c r="R12" t="s">
        <v>463</v>
      </c>
      <c r="S12">
        <v>0</v>
      </c>
      <c r="T12">
        <v>0</v>
      </c>
      <c r="U12">
        <v>0</v>
      </c>
      <c r="V12">
        <v>0</v>
      </c>
      <c r="W12">
        <v>0</v>
      </c>
      <c r="X12">
        <v>0</v>
      </c>
      <c r="Y12">
        <v>1</v>
      </c>
      <c r="Z12">
        <v>0</v>
      </c>
      <c r="AA12">
        <v>0</v>
      </c>
      <c r="AB12">
        <v>0</v>
      </c>
      <c r="AC12">
        <v>0</v>
      </c>
      <c r="AD12">
        <v>0</v>
      </c>
      <c r="AE12">
        <v>0</v>
      </c>
      <c r="AF12">
        <v>1</v>
      </c>
      <c r="AG12">
        <v>0</v>
      </c>
      <c r="AH12">
        <v>0</v>
      </c>
      <c r="AI12">
        <v>0</v>
      </c>
      <c r="AJ12">
        <v>0</v>
      </c>
      <c r="AK12">
        <v>0</v>
      </c>
      <c r="AL12">
        <v>0</v>
      </c>
      <c r="AM12">
        <v>0</v>
      </c>
      <c r="AN12">
        <v>0</v>
      </c>
      <c r="AO12">
        <v>0</v>
      </c>
      <c r="AP12">
        <v>0</v>
      </c>
      <c r="AQ12">
        <v>0</v>
      </c>
      <c r="AR12">
        <v>0</v>
      </c>
      <c r="AS12">
        <v>0</v>
      </c>
      <c r="AT12">
        <v>0</v>
      </c>
      <c r="AU12" t="s">
        <v>242</v>
      </c>
      <c r="AV12" t="s">
        <v>457</v>
      </c>
      <c r="AW12" t="s">
        <v>328</v>
      </c>
      <c r="AX12" t="s">
        <v>458</v>
      </c>
      <c r="AY12">
        <v>77087</v>
      </c>
      <c r="AZ12">
        <v>48201333000</v>
      </c>
      <c r="BA12" t="s">
        <v>329</v>
      </c>
      <c r="BB12" t="s">
        <v>330</v>
      </c>
      <c r="BC12">
        <v>158977</v>
      </c>
      <c r="BD12">
        <v>2840</v>
      </c>
      <c r="BE12" t="s">
        <v>407</v>
      </c>
      <c r="BF12" t="s">
        <v>407</v>
      </c>
      <c r="BG12" t="s">
        <v>407</v>
      </c>
    </row>
    <row r="13" spans="1:59" x14ac:dyDescent="0.3">
      <c r="A13">
        <v>30257</v>
      </c>
      <c r="B13">
        <v>16315904</v>
      </c>
      <c r="C13">
        <v>2018</v>
      </c>
      <c r="D13" s="62">
        <v>43178</v>
      </c>
      <c r="E13">
        <v>18</v>
      </c>
      <c r="F13" t="s">
        <v>417</v>
      </c>
      <c r="G13" t="s">
        <v>319</v>
      </c>
      <c r="H13" t="s">
        <v>464</v>
      </c>
      <c r="I13" t="s">
        <v>427</v>
      </c>
      <c r="J13">
        <v>29.6851895</v>
      </c>
      <c r="K13">
        <v>-95.296535739999996</v>
      </c>
      <c r="L13" t="s">
        <v>321</v>
      </c>
      <c r="M13" t="s">
        <v>322</v>
      </c>
      <c r="N13" t="s">
        <v>323</v>
      </c>
      <c r="O13" t="s">
        <v>324</v>
      </c>
      <c r="P13" t="s">
        <v>414</v>
      </c>
      <c r="Q13" t="s">
        <v>332</v>
      </c>
      <c r="R13" t="s">
        <v>428</v>
      </c>
      <c r="S13">
        <v>0</v>
      </c>
      <c r="T13">
        <v>0</v>
      </c>
      <c r="U13">
        <v>0</v>
      </c>
      <c r="V13">
        <v>0</v>
      </c>
      <c r="W13">
        <v>0</v>
      </c>
      <c r="X13">
        <v>6</v>
      </c>
      <c r="Y13">
        <v>0</v>
      </c>
      <c r="Z13">
        <v>0</v>
      </c>
      <c r="AA13">
        <v>0</v>
      </c>
      <c r="AB13">
        <v>0</v>
      </c>
      <c r="AC13">
        <v>0</v>
      </c>
      <c r="AD13">
        <v>6</v>
      </c>
      <c r="AE13">
        <v>0</v>
      </c>
      <c r="AF13">
        <v>0</v>
      </c>
      <c r="AG13">
        <v>0</v>
      </c>
      <c r="AH13">
        <v>0</v>
      </c>
      <c r="AI13">
        <v>0</v>
      </c>
      <c r="AJ13">
        <v>0</v>
      </c>
      <c r="AK13">
        <v>0</v>
      </c>
      <c r="AL13">
        <v>0</v>
      </c>
      <c r="AM13">
        <v>0</v>
      </c>
      <c r="AN13">
        <v>0</v>
      </c>
      <c r="AO13">
        <v>0</v>
      </c>
      <c r="AP13">
        <v>0</v>
      </c>
      <c r="AQ13">
        <v>0</v>
      </c>
      <c r="AR13">
        <v>0</v>
      </c>
      <c r="AS13">
        <v>0</v>
      </c>
      <c r="AT13">
        <v>0</v>
      </c>
      <c r="AU13" t="s">
        <v>242</v>
      </c>
      <c r="AV13" t="s">
        <v>457</v>
      </c>
      <c r="AW13" t="s">
        <v>328</v>
      </c>
      <c r="AX13" t="s">
        <v>458</v>
      </c>
      <c r="AY13">
        <v>77087</v>
      </c>
      <c r="AZ13">
        <v>48201332800</v>
      </c>
      <c r="BA13" t="s">
        <v>329</v>
      </c>
      <c r="BB13" t="s">
        <v>330</v>
      </c>
      <c r="BC13">
        <v>53817</v>
      </c>
      <c r="BD13">
        <v>2840</v>
      </c>
      <c r="BE13" t="s">
        <v>407</v>
      </c>
      <c r="BF13" t="s">
        <v>407</v>
      </c>
      <c r="BG13" t="s">
        <v>407</v>
      </c>
    </row>
    <row r="14" spans="1:59" x14ac:dyDescent="0.3">
      <c r="A14">
        <v>32705</v>
      </c>
      <c r="B14">
        <v>16326131</v>
      </c>
      <c r="C14">
        <v>2018</v>
      </c>
      <c r="D14" s="62">
        <v>43187</v>
      </c>
      <c r="E14">
        <v>20</v>
      </c>
      <c r="F14" t="s">
        <v>405</v>
      </c>
      <c r="G14" t="s">
        <v>319</v>
      </c>
      <c r="H14" t="s">
        <v>453</v>
      </c>
      <c r="I14" t="s">
        <v>437</v>
      </c>
      <c r="J14">
        <v>29.692566360000001</v>
      </c>
      <c r="K14">
        <v>-95.298948060000001</v>
      </c>
      <c r="L14" t="s">
        <v>430</v>
      </c>
      <c r="M14" t="s">
        <v>431</v>
      </c>
      <c r="N14" t="s">
        <v>422</v>
      </c>
      <c r="O14" t="s">
        <v>324</v>
      </c>
      <c r="P14" t="s">
        <v>414</v>
      </c>
      <c r="Q14" t="s">
        <v>332</v>
      </c>
      <c r="R14" t="s">
        <v>426</v>
      </c>
      <c r="S14">
        <v>0</v>
      </c>
      <c r="T14">
        <v>0</v>
      </c>
      <c r="U14">
        <v>0</v>
      </c>
      <c r="V14">
        <v>0</v>
      </c>
      <c r="W14">
        <v>0</v>
      </c>
      <c r="X14">
        <v>4</v>
      </c>
      <c r="Y14">
        <v>0</v>
      </c>
      <c r="Z14">
        <v>0</v>
      </c>
      <c r="AA14">
        <v>0</v>
      </c>
      <c r="AB14">
        <v>0</v>
      </c>
      <c r="AC14">
        <v>0</v>
      </c>
      <c r="AD14">
        <v>4</v>
      </c>
      <c r="AE14">
        <v>0</v>
      </c>
      <c r="AF14">
        <v>0</v>
      </c>
      <c r="AG14">
        <v>0</v>
      </c>
      <c r="AH14">
        <v>0</v>
      </c>
      <c r="AI14">
        <v>0</v>
      </c>
      <c r="AJ14">
        <v>0</v>
      </c>
      <c r="AK14">
        <v>0</v>
      </c>
      <c r="AL14">
        <v>0</v>
      </c>
      <c r="AM14">
        <v>0</v>
      </c>
      <c r="AN14">
        <v>0</v>
      </c>
      <c r="AO14">
        <v>0</v>
      </c>
      <c r="AP14">
        <v>0</v>
      </c>
      <c r="AQ14">
        <v>0</v>
      </c>
      <c r="AR14">
        <v>0</v>
      </c>
      <c r="AS14">
        <v>0</v>
      </c>
      <c r="AT14">
        <v>0</v>
      </c>
      <c r="AU14" t="s">
        <v>242</v>
      </c>
      <c r="AV14" t="s">
        <v>457</v>
      </c>
      <c r="AW14" t="s">
        <v>328</v>
      </c>
      <c r="AX14" t="s">
        <v>458</v>
      </c>
      <c r="AY14">
        <v>77087</v>
      </c>
      <c r="AZ14">
        <v>48201332900</v>
      </c>
      <c r="BA14" t="s">
        <v>329</v>
      </c>
      <c r="BB14" t="s">
        <v>330</v>
      </c>
      <c r="BC14">
        <v>54037</v>
      </c>
      <c r="BD14">
        <v>2892</v>
      </c>
      <c r="BE14" t="s">
        <v>407</v>
      </c>
      <c r="BF14" t="s">
        <v>407</v>
      </c>
      <c r="BG14" t="s">
        <v>407</v>
      </c>
    </row>
    <row r="15" spans="1:59" x14ac:dyDescent="0.3">
      <c r="A15">
        <v>40082</v>
      </c>
      <c r="B15">
        <v>16356726</v>
      </c>
      <c r="C15">
        <v>2018</v>
      </c>
      <c r="D15" s="62">
        <v>43206</v>
      </c>
      <c r="E15">
        <v>9</v>
      </c>
      <c r="F15" t="s">
        <v>417</v>
      </c>
      <c r="G15" t="s">
        <v>319</v>
      </c>
      <c r="H15" t="s">
        <v>453</v>
      </c>
      <c r="I15" t="s">
        <v>437</v>
      </c>
      <c r="J15">
        <v>29.691314810000002</v>
      </c>
      <c r="K15">
        <v>-95.298783110000002</v>
      </c>
      <c r="L15" t="s">
        <v>321</v>
      </c>
      <c r="M15" t="s">
        <v>322</v>
      </c>
      <c r="N15" t="s">
        <v>429</v>
      </c>
      <c r="O15" t="s">
        <v>324</v>
      </c>
      <c r="P15" t="s">
        <v>283</v>
      </c>
      <c r="Q15" t="s">
        <v>278</v>
      </c>
      <c r="R15" t="s">
        <v>406</v>
      </c>
      <c r="S15">
        <v>0</v>
      </c>
      <c r="T15">
        <v>0</v>
      </c>
      <c r="U15">
        <v>0</v>
      </c>
      <c r="V15">
        <v>2</v>
      </c>
      <c r="W15">
        <v>2</v>
      </c>
      <c r="X15">
        <v>2</v>
      </c>
      <c r="Y15">
        <v>0</v>
      </c>
      <c r="Z15">
        <v>0</v>
      </c>
      <c r="AA15">
        <v>0</v>
      </c>
      <c r="AB15">
        <v>0</v>
      </c>
      <c r="AC15">
        <v>2</v>
      </c>
      <c r="AD15">
        <v>2</v>
      </c>
      <c r="AE15">
        <v>2</v>
      </c>
      <c r="AF15">
        <v>0</v>
      </c>
      <c r="AG15">
        <v>0</v>
      </c>
      <c r="AH15">
        <v>0</v>
      </c>
      <c r="AI15">
        <v>0</v>
      </c>
      <c r="AJ15">
        <v>0</v>
      </c>
      <c r="AK15">
        <v>0</v>
      </c>
      <c r="AL15">
        <v>0</v>
      </c>
      <c r="AM15">
        <v>0</v>
      </c>
      <c r="AN15">
        <v>0</v>
      </c>
      <c r="AO15">
        <v>0</v>
      </c>
      <c r="AP15">
        <v>0</v>
      </c>
      <c r="AQ15">
        <v>0</v>
      </c>
      <c r="AR15">
        <v>0</v>
      </c>
      <c r="AS15">
        <v>0</v>
      </c>
      <c r="AT15">
        <v>0</v>
      </c>
      <c r="AU15" t="s">
        <v>242</v>
      </c>
      <c r="AV15" t="s">
        <v>457</v>
      </c>
      <c r="AW15" t="s">
        <v>328</v>
      </c>
      <c r="AX15" t="s">
        <v>458</v>
      </c>
      <c r="AY15">
        <v>77087</v>
      </c>
      <c r="AZ15">
        <v>48201332900</v>
      </c>
      <c r="BA15" t="s">
        <v>329</v>
      </c>
      <c r="BB15" t="s">
        <v>330</v>
      </c>
      <c r="BC15">
        <v>54037</v>
      </c>
      <c r="BD15">
        <v>2892</v>
      </c>
      <c r="BE15" t="s">
        <v>407</v>
      </c>
      <c r="BF15" t="s">
        <v>407</v>
      </c>
      <c r="BG15" t="s">
        <v>407</v>
      </c>
    </row>
    <row r="16" spans="1:59" x14ac:dyDescent="0.3">
      <c r="A16">
        <v>53323</v>
      </c>
      <c r="B16">
        <v>16412808</v>
      </c>
      <c r="C16">
        <v>2018</v>
      </c>
      <c r="D16" s="62">
        <v>43227</v>
      </c>
      <c r="E16">
        <v>22</v>
      </c>
      <c r="F16" t="s">
        <v>417</v>
      </c>
      <c r="G16" t="s">
        <v>319</v>
      </c>
      <c r="H16" t="s">
        <v>464</v>
      </c>
      <c r="I16" t="s">
        <v>419</v>
      </c>
      <c r="J16">
        <v>29.68515828</v>
      </c>
      <c r="K16">
        <v>-95.296398370000006</v>
      </c>
      <c r="L16" t="s">
        <v>321</v>
      </c>
      <c r="M16" t="s">
        <v>431</v>
      </c>
      <c r="N16" t="s">
        <v>323</v>
      </c>
      <c r="O16" t="s">
        <v>324</v>
      </c>
      <c r="P16" t="s">
        <v>414</v>
      </c>
      <c r="Q16" t="s">
        <v>278</v>
      </c>
      <c r="R16" t="s">
        <v>426</v>
      </c>
      <c r="S16">
        <v>0</v>
      </c>
      <c r="T16">
        <v>0</v>
      </c>
      <c r="U16">
        <v>0</v>
      </c>
      <c r="V16">
        <v>0</v>
      </c>
      <c r="W16">
        <v>0</v>
      </c>
      <c r="X16">
        <v>4</v>
      </c>
      <c r="Y16">
        <v>1</v>
      </c>
      <c r="Z16">
        <v>0</v>
      </c>
      <c r="AA16">
        <v>0</v>
      </c>
      <c r="AB16">
        <v>0</v>
      </c>
      <c r="AC16">
        <v>0</v>
      </c>
      <c r="AD16">
        <v>4</v>
      </c>
      <c r="AE16">
        <v>0</v>
      </c>
      <c r="AF16">
        <v>1</v>
      </c>
      <c r="AG16">
        <v>0</v>
      </c>
      <c r="AH16">
        <v>0</v>
      </c>
      <c r="AI16">
        <v>0</v>
      </c>
      <c r="AJ16">
        <v>0</v>
      </c>
      <c r="AK16">
        <v>0</v>
      </c>
      <c r="AL16">
        <v>0</v>
      </c>
      <c r="AM16">
        <v>0</v>
      </c>
      <c r="AN16">
        <v>0</v>
      </c>
      <c r="AO16">
        <v>0</v>
      </c>
      <c r="AP16">
        <v>0</v>
      </c>
      <c r="AQ16">
        <v>0</v>
      </c>
      <c r="AR16">
        <v>0</v>
      </c>
      <c r="AS16">
        <v>0</v>
      </c>
      <c r="AT16">
        <v>0</v>
      </c>
      <c r="AU16" t="s">
        <v>242</v>
      </c>
      <c r="AV16" t="s">
        <v>457</v>
      </c>
      <c r="AW16" t="s">
        <v>328</v>
      </c>
      <c r="AX16" t="s">
        <v>458</v>
      </c>
      <c r="AY16">
        <v>77087</v>
      </c>
      <c r="AZ16">
        <v>48201332800</v>
      </c>
      <c r="BA16" t="s">
        <v>329</v>
      </c>
      <c r="BB16" t="s">
        <v>330</v>
      </c>
      <c r="BC16">
        <v>53817</v>
      </c>
      <c r="BD16">
        <v>2840</v>
      </c>
      <c r="BE16" t="s">
        <v>407</v>
      </c>
      <c r="BF16" t="s">
        <v>407</v>
      </c>
      <c r="BG16" t="s">
        <v>407</v>
      </c>
    </row>
    <row r="17" spans="1:59" x14ac:dyDescent="0.3">
      <c r="A17">
        <v>53744</v>
      </c>
      <c r="B17">
        <v>16414582</v>
      </c>
      <c r="C17">
        <v>2018</v>
      </c>
      <c r="D17" s="62">
        <v>43232</v>
      </c>
      <c r="E17">
        <v>4</v>
      </c>
      <c r="F17" t="s">
        <v>436</v>
      </c>
      <c r="G17" t="s">
        <v>319</v>
      </c>
      <c r="H17" t="s">
        <v>453</v>
      </c>
      <c r="I17" t="s">
        <v>437</v>
      </c>
      <c r="J17">
        <v>29.691314810000002</v>
      </c>
      <c r="K17">
        <v>-95.298783110000002</v>
      </c>
      <c r="L17" t="s">
        <v>321</v>
      </c>
      <c r="M17" t="s">
        <v>465</v>
      </c>
      <c r="N17" t="s">
        <v>429</v>
      </c>
      <c r="O17" t="s">
        <v>324</v>
      </c>
      <c r="P17" t="s">
        <v>414</v>
      </c>
      <c r="Q17" t="s">
        <v>331</v>
      </c>
      <c r="R17" t="s">
        <v>447</v>
      </c>
      <c r="S17">
        <v>0</v>
      </c>
      <c r="T17">
        <v>0</v>
      </c>
      <c r="U17">
        <v>0</v>
      </c>
      <c r="V17">
        <v>0</v>
      </c>
      <c r="W17">
        <v>0</v>
      </c>
      <c r="X17">
        <v>3</v>
      </c>
      <c r="Y17">
        <v>0</v>
      </c>
      <c r="Z17">
        <v>0</v>
      </c>
      <c r="AA17">
        <v>0</v>
      </c>
      <c r="AB17">
        <v>0</v>
      </c>
      <c r="AC17">
        <v>0</v>
      </c>
      <c r="AD17">
        <v>3</v>
      </c>
      <c r="AE17">
        <v>0</v>
      </c>
      <c r="AF17">
        <v>0</v>
      </c>
      <c r="AG17">
        <v>0</v>
      </c>
      <c r="AH17">
        <v>0</v>
      </c>
      <c r="AI17">
        <v>0</v>
      </c>
      <c r="AJ17">
        <v>0</v>
      </c>
      <c r="AK17">
        <v>0</v>
      </c>
      <c r="AL17">
        <v>0</v>
      </c>
      <c r="AM17">
        <v>0</v>
      </c>
      <c r="AN17">
        <v>0</v>
      </c>
      <c r="AO17">
        <v>0</v>
      </c>
      <c r="AP17">
        <v>0</v>
      </c>
      <c r="AQ17">
        <v>0</v>
      </c>
      <c r="AR17">
        <v>0</v>
      </c>
      <c r="AS17">
        <v>0</v>
      </c>
      <c r="AT17">
        <v>0</v>
      </c>
      <c r="AU17" t="s">
        <v>242</v>
      </c>
      <c r="AV17" t="s">
        <v>457</v>
      </c>
      <c r="AW17" t="s">
        <v>328</v>
      </c>
      <c r="AX17" t="s">
        <v>458</v>
      </c>
      <c r="AY17">
        <v>77087</v>
      </c>
      <c r="AZ17">
        <v>48201332900</v>
      </c>
      <c r="BA17" t="s">
        <v>329</v>
      </c>
      <c r="BB17" t="s">
        <v>330</v>
      </c>
      <c r="BC17">
        <v>54037</v>
      </c>
      <c r="BD17">
        <v>2892</v>
      </c>
      <c r="BE17" t="s">
        <v>407</v>
      </c>
      <c r="BF17" t="s">
        <v>407</v>
      </c>
      <c r="BG17" t="s">
        <v>407</v>
      </c>
    </row>
    <row r="18" spans="1:59" x14ac:dyDescent="0.3">
      <c r="A18">
        <v>54572</v>
      </c>
      <c r="B18">
        <v>16417715</v>
      </c>
      <c r="C18">
        <v>2018</v>
      </c>
      <c r="D18" s="62">
        <v>43237</v>
      </c>
      <c r="E18">
        <v>12</v>
      </c>
      <c r="F18" t="s">
        <v>425</v>
      </c>
      <c r="G18" t="s">
        <v>319</v>
      </c>
      <c r="H18" t="s">
        <v>453</v>
      </c>
      <c r="I18" t="s">
        <v>419</v>
      </c>
      <c r="J18">
        <v>29.67672791</v>
      </c>
      <c r="K18">
        <v>-95.290680109999997</v>
      </c>
      <c r="L18" t="s">
        <v>321</v>
      </c>
      <c r="M18" t="s">
        <v>322</v>
      </c>
      <c r="N18" t="s">
        <v>323</v>
      </c>
      <c r="O18" t="s">
        <v>324</v>
      </c>
      <c r="P18" t="s">
        <v>414</v>
      </c>
      <c r="Q18" t="s">
        <v>331</v>
      </c>
      <c r="R18" t="s">
        <v>447</v>
      </c>
      <c r="S18">
        <v>0</v>
      </c>
      <c r="T18">
        <v>0</v>
      </c>
      <c r="U18">
        <v>0</v>
      </c>
      <c r="V18">
        <v>0</v>
      </c>
      <c r="W18">
        <v>0</v>
      </c>
      <c r="X18">
        <v>2</v>
      </c>
      <c r="Y18">
        <v>0</v>
      </c>
      <c r="Z18">
        <v>0</v>
      </c>
      <c r="AA18">
        <v>0</v>
      </c>
      <c r="AB18">
        <v>0</v>
      </c>
      <c r="AC18">
        <v>0</v>
      </c>
      <c r="AD18">
        <v>2</v>
      </c>
      <c r="AE18">
        <v>0</v>
      </c>
      <c r="AF18">
        <v>0</v>
      </c>
      <c r="AG18">
        <v>0</v>
      </c>
      <c r="AH18">
        <v>0</v>
      </c>
      <c r="AI18">
        <v>0</v>
      </c>
      <c r="AJ18">
        <v>0</v>
      </c>
      <c r="AK18">
        <v>0</v>
      </c>
      <c r="AL18">
        <v>0</v>
      </c>
      <c r="AM18">
        <v>0</v>
      </c>
      <c r="AN18">
        <v>0</v>
      </c>
      <c r="AO18">
        <v>0</v>
      </c>
      <c r="AP18">
        <v>0</v>
      </c>
      <c r="AQ18">
        <v>0</v>
      </c>
      <c r="AR18">
        <v>0</v>
      </c>
      <c r="AS18">
        <v>0</v>
      </c>
      <c r="AT18">
        <v>0</v>
      </c>
      <c r="AU18" t="s">
        <v>242</v>
      </c>
      <c r="AV18" t="s">
        <v>327</v>
      </c>
      <c r="AW18" t="s">
        <v>328</v>
      </c>
      <c r="AX18" t="s">
        <v>458</v>
      </c>
      <c r="AY18">
        <v>77087</v>
      </c>
      <c r="AZ18">
        <v>48201332600</v>
      </c>
      <c r="BA18" t="s">
        <v>329</v>
      </c>
      <c r="BB18" t="s">
        <v>330</v>
      </c>
      <c r="BC18">
        <v>158757</v>
      </c>
      <c r="BD18">
        <v>2840</v>
      </c>
      <c r="BE18" t="s">
        <v>407</v>
      </c>
      <c r="BF18" t="s">
        <v>407</v>
      </c>
      <c r="BG18" t="s">
        <v>407</v>
      </c>
    </row>
    <row r="19" spans="1:59" x14ac:dyDescent="0.3">
      <c r="A19">
        <v>61172</v>
      </c>
      <c r="B19">
        <v>16444319</v>
      </c>
      <c r="C19">
        <v>2018</v>
      </c>
      <c r="D19" s="62">
        <v>43250</v>
      </c>
      <c r="E19">
        <v>0</v>
      </c>
      <c r="F19" t="s">
        <v>405</v>
      </c>
      <c r="G19" t="s">
        <v>319</v>
      </c>
      <c r="H19" t="s">
        <v>466</v>
      </c>
      <c r="I19" t="s">
        <v>427</v>
      </c>
      <c r="J19">
        <v>29.692264810000001</v>
      </c>
      <c r="K19">
        <v>-95.298853109999996</v>
      </c>
      <c r="L19" t="s">
        <v>321</v>
      </c>
      <c r="M19" t="s">
        <v>431</v>
      </c>
      <c r="N19" t="s">
        <v>422</v>
      </c>
      <c r="O19" t="s">
        <v>462</v>
      </c>
      <c r="P19" t="s">
        <v>428</v>
      </c>
      <c r="Q19" t="s">
        <v>332</v>
      </c>
      <c r="R19" t="s">
        <v>426</v>
      </c>
      <c r="S19">
        <v>0</v>
      </c>
      <c r="T19">
        <v>0</v>
      </c>
      <c r="U19">
        <v>0</v>
      </c>
      <c r="V19">
        <v>0</v>
      </c>
      <c r="W19">
        <v>0</v>
      </c>
      <c r="X19">
        <v>0</v>
      </c>
      <c r="Y19">
        <v>1</v>
      </c>
      <c r="Z19">
        <v>0</v>
      </c>
      <c r="AA19">
        <v>0</v>
      </c>
      <c r="AB19">
        <v>0</v>
      </c>
      <c r="AC19">
        <v>0</v>
      </c>
      <c r="AD19">
        <v>0</v>
      </c>
      <c r="AE19">
        <v>0</v>
      </c>
      <c r="AF19">
        <v>1</v>
      </c>
      <c r="AG19">
        <v>0</v>
      </c>
      <c r="AH19">
        <v>0</v>
      </c>
      <c r="AI19">
        <v>0</v>
      </c>
      <c r="AJ19">
        <v>0</v>
      </c>
      <c r="AK19">
        <v>0</v>
      </c>
      <c r="AL19">
        <v>0</v>
      </c>
      <c r="AM19">
        <v>0</v>
      </c>
      <c r="AN19">
        <v>0</v>
      </c>
      <c r="AO19">
        <v>0</v>
      </c>
      <c r="AP19">
        <v>0</v>
      </c>
      <c r="AQ19">
        <v>0</v>
      </c>
      <c r="AR19">
        <v>0</v>
      </c>
      <c r="AS19">
        <v>0</v>
      </c>
      <c r="AT19">
        <v>0</v>
      </c>
      <c r="AU19" t="s">
        <v>242</v>
      </c>
      <c r="AV19" t="s">
        <v>457</v>
      </c>
      <c r="AW19" t="s">
        <v>328</v>
      </c>
      <c r="AX19" t="s">
        <v>458</v>
      </c>
      <c r="AY19">
        <v>77087</v>
      </c>
      <c r="AZ19">
        <v>48201332900</v>
      </c>
      <c r="BA19" t="s">
        <v>329</v>
      </c>
      <c r="BB19" t="s">
        <v>330</v>
      </c>
      <c r="BC19">
        <v>54037</v>
      </c>
      <c r="BD19">
        <v>2892</v>
      </c>
      <c r="BE19" t="s">
        <v>407</v>
      </c>
      <c r="BF19" t="s">
        <v>407</v>
      </c>
      <c r="BG19" t="s">
        <v>407</v>
      </c>
    </row>
    <row r="20" spans="1:59" x14ac:dyDescent="0.3">
      <c r="A20">
        <v>78693</v>
      </c>
      <c r="B20">
        <v>16521912</v>
      </c>
      <c r="C20">
        <v>2018</v>
      </c>
      <c r="D20" s="62">
        <v>43295</v>
      </c>
      <c r="E20">
        <v>23</v>
      </c>
      <c r="F20" t="s">
        <v>436</v>
      </c>
      <c r="G20" t="s">
        <v>319</v>
      </c>
      <c r="H20" t="s">
        <v>467</v>
      </c>
      <c r="I20" t="s">
        <v>427</v>
      </c>
      <c r="J20">
        <v>29.691314810000002</v>
      </c>
      <c r="K20">
        <v>-95.298783110000002</v>
      </c>
      <c r="L20" t="s">
        <v>321</v>
      </c>
      <c r="M20" t="s">
        <v>431</v>
      </c>
      <c r="N20" t="s">
        <v>323</v>
      </c>
      <c r="O20" t="s">
        <v>324</v>
      </c>
      <c r="P20" t="s">
        <v>414</v>
      </c>
      <c r="Q20" t="s">
        <v>331</v>
      </c>
      <c r="R20" t="s">
        <v>439</v>
      </c>
      <c r="S20">
        <v>0</v>
      </c>
      <c r="T20">
        <v>0</v>
      </c>
      <c r="U20">
        <v>0</v>
      </c>
      <c r="V20">
        <v>0</v>
      </c>
      <c r="W20">
        <v>0</v>
      </c>
      <c r="X20">
        <v>2</v>
      </c>
      <c r="Y20">
        <v>0</v>
      </c>
      <c r="Z20">
        <v>0</v>
      </c>
      <c r="AA20">
        <v>0</v>
      </c>
      <c r="AB20">
        <v>0</v>
      </c>
      <c r="AC20">
        <v>0</v>
      </c>
      <c r="AD20">
        <v>2</v>
      </c>
      <c r="AE20">
        <v>0</v>
      </c>
      <c r="AF20">
        <v>0</v>
      </c>
      <c r="AG20">
        <v>0</v>
      </c>
      <c r="AH20">
        <v>0</v>
      </c>
      <c r="AI20">
        <v>0</v>
      </c>
      <c r="AJ20">
        <v>0</v>
      </c>
      <c r="AK20">
        <v>0</v>
      </c>
      <c r="AL20">
        <v>0</v>
      </c>
      <c r="AM20">
        <v>0</v>
      </c>
      <c r="AN20">
        <v>0</v>
      </c>
      <c r="AO20">
        <v>0</v>
      </c>
      <c r="AP20">
        <v>0</v>
      </c>
      <c r="AQ20">
        <v>0</v>
      </c>
      <c r="AR20">
        <v>0</v>
      </c>
      <c r="AS20">
        <v>0</v>
      </c>
      <c r="AT20">
        <v>0</v>
      </c>
      <c r="AU20" t="s">
        <v>242</v>
      </c>
      <c r="AV20" t="s">
        <v>457</v>
      </c>
      <c r="AW20" t="s">
        <v>328</v>
      </c>
      <c r="AX20" t="s">
        <v>458</v>
      </c>
      <c r="AY20">
        <v>77087</v>
      </c>
      <c r="AZ20">
        <v>48201332900</v>
      </c>
      <c r="BA20" t="s">
        <v>329</v>
      </c>
      <c r="BB20" t="s">
        <v>330</v>
      </c>
      <c r="BC20">
        <v>54037</v>
      </c>
      <c r="BD20">
        <v>2892</v>
      </c>
      <c r="BE20" t="s">
        <v>407</v>
      </c>
      <c r="BF20" t="s">
        <v>407</v>
      </c>
      <c r="BG20" t="s">
        <v>407</v>
      </c>
    </row>
    <row r="21" spans="1:59" x14ac:dyDescent="0.3">
      <c r="A21">
        <v>79205</v>
      </c>
      <c r="B21">
        <v>16524029</v>
      </c>
      <c r="C21">
        <v>2018</v>
      </c>
      <c r="D21" s="62">
        <v>43290</v>
      </c>
      <c r="E21">
        <v>14</v>
      </c>
      <c r="F21" t="s">
        <v>417</v>
      </c>
      <c r="G21" t="s">
        <v>319</v>
      </c>
      <c r="H21" t="s">
        <v>453</v>
      </c>
      <c r="I21" t="s">
        <v>437</v>
      </c>
      <c r="J21">
        <v>29.692264810000001</v>
      </c>
      <c r="K21">
        <v>-95.298853109999996</v>
      </c>
      <c r="L21" t="s">
        <v>430</v>
      </c>
      <c r="M21" t="s">
        <v>322</v>
      </c>
      <c r="N21" t="s">
        <v>448</v>
      </c>
      <c r="O21" t="s">
        <v>324</v>
      </c>
      <c r="P21" t="s">
        <v>414</v>
      </c>
      <c r="Q21" t="s">
        <v>331</v>
      </c>
      <c r="R21" t="s">
        <v>434</v>
      </c>
      <c r="S21">
        <v>0</v>
      </c>
      <c r="T21">
        <v>0</v>
      </c>
      <c r="U21">
        <v>0</v>
      </c>
      <c r="V21">
        <v>0</v>
      </c>
      <c r="W21">
        <v>0</v>
      </c>
      <c r="X21">
        <v>6</v>
      </c>
      <c r="Y21">
        <v>0</v>
      </c>
      <c r="Z21">
        <v>0</v>
      </c>
      <c r="AA21">
        <v>0</v>
      </c>
      <c r="AB21">
        <v>0</v>
      </c>
      <c r="AC21">
        <v>0</v>
      </c>
      <c r="AD21">
        <v>6</v>
      </c>
      <c r="AE21">
        <v>0</v>
      </c>
      <c r="AF21">
        <v>0</v>
      </c>
      <c r="AG21">
        <v>0</v>
      </c>
      <c r="AH21">
        <v>0</v>
      </c>
      <c r="AI21">
        <v>0</v>
      </c>
      <c r="AJ21">
        <v>0</v>
      </c>
      <c r="AK21">
        <v>0</v>
      </c>
      <c r="AL21">
        <v>0</v>
      </c>
      <c r="AM21">
        <v>0</v>
      </c>
      <c r="AN21">
        <v>0</v>
      </c>
      <c r="AO21">
        <v>0</v>
      </c>
      <c r="AP21">
        <v>0</v>
      </c>
      <c r="AQ21">
        <v>0</v>
      </c>
      <c r="AR21">
        <v>0</v>
      </c>
      <c r="AS21">
        <v>0</v>
      </c>
      <c r="AT21">
        <v>0</v>
      </c>
      <c r="AU21" t="s">
        <v>242</v>
      </c>
      <c r="AV21" t="s">
        <v>457</v>
      </c>
      <c r="AW21" t="s">
        <v>328</v>
      </c>
      <c r="AX21" t="s">
        <v>458</v>
      </c>
      <c r="AY21">
        <v>77087</v>
      </c>
      <c r="AZ21">
        <v>48201332900</v>
      </c>
      <c r="BA21" t="s">
        <v>329</v>
      </c>
      <c r="BB21" t="s">
        <v>330</v>
      </c>
      <c r="BC21">
        <v>54037</v>
      </c>
      <c r="BD21">
        <v>2892</v>
      </c>
      <c r="BE21" t="s">
        <v>407</v>
      </c>
      <c r="BF21" t="s">
        <v>407</v>
      </c>
      <c r="BG21" t="s">
        <v>407</v>
      </c>
    </row>
    <row r="22" spans="1:59" x14ac:dyDescent="0.3">
      <c r="A22">
        <v>79547</v>
      </c>
      <c r="B22">
        <v>16525510</v>
      </c>
      <c r="C22">
        <v>2018</v>
      </c>
      <c r="D22" s="62">
        <v>43295</v>
      </c>
      <c r="E22">
        <v>2</v>
      </c>
      <c r="F22" t="s">
        <v>436</v>
      </c>
      <c r="G22" t="s">
        <v>319</v>
      </c>
      <c r="H22" t="s">
        <v>453</v>
      </c>
      <c r="I22" t="s">
        <v>427</v>
      </c>
      <c r="J22">
        <v>29.685227090000001</v>
      </c>
      <c r="K22">
        <v>-95.296428280000001</v>
      </c>
      <c r="L22" t="s">
        <v>321</v>
      </c>
      <c r="M22" t="s">
        <v>431</v>
      </c>
      <c r="N22" t="s">
        <v>323</v>
      </c>
      <c r="O22" t="s">
        <v>324</v>
      </c>
      <c r="P22" t="s">
        <v>414</v>
      </c>
      <c r="Q22" t="s">
        <v>332</v>
      </c>
      <c r="R22" t="s">
        <v>426</v>
      </c>
      <c r="S22">
        <v>0</v>
      </c>
      <c r="T22">
        <v>0</v>
      </c>
      <c r="U22">
        <v>0</v>
      </c>
      <c r="V22">
        <v>0</v>
      </c>
      <c r="W22">
        <v>0</v>
      </c>
      <c r="X22">
        <v>1</v>
      </c>
      <c r="Y22">
        <v>1</v>
      </c>
      <c r="Z22">
        <v>0</v>
      </c>
      <c r="AA22">
        <v>0</v>
      </c>
      <c r="AB22">
        <v>0</v>
      </c>
      <c r="AC22">
        <v>0</v>
      </c>
      <c r="AD22">
        <v>1</v>
      </c>
      <c r="AE22">
        <v>0</v>
      </c>
      <c r="AF22">
        <v>1</v>
      </c>
      <c r="AG22">
        <v>0</v>
      </c>
      <c r="AH22">
        <v>0</v>
      </c>
      <c r="AI22">
        <v>0</v>
      </c>
      <c r="AJ22">
        <v>0</v>
      </c>
      <c r="AK22">
        <v>0</v>
      </c>
      <c r="AL22">
        <v>0</v>
      </c>
      <c r="AM22">
        <v>0</v>
      </c>
      <c r="AN22">
        <v>0</v>
      </c>
      <c r="AO22">
        <v>0</v>
      </c>
      <c r="AP22">
        <v>0</v>
      </c>
      <c r="AQ22">
        <v>0</v>
      </c>
      <c r="AR22">
        <v>0</v>
      </c>
      <c r="AS22">
        <v>0</v>
      </c>
      <c r="AT22">
        <v>0</v>
      </c>
      <c r="AU22" t="s">
        <v>242</v>
      </c>
      <c r="AV22" t="s">
        <v>457</v>
      </c>
      <c r="AW22" t="s">
        <v>328</v>
      </c>
      <c r="AX22" t="s">
        <v>458</v>
      </c>
      <c r="AY22">
        <v>77087</v>
      </c>
      <c r="AZ22">
        <v>48201332800</v>
      </c>
      <c r="BA22" t="s">
        <v>329</v>
      </c>
      <c r="BB22" t="s">
        <v>330</v>
      </c>
      <c r="BC22">
        <v>53817</v>
      </c>
      <c r="BD22">
        <v>2840</v>
      </c>
      <c r="BE22" t="s">
        <v>407</v>
      </c>
      <c r="BF22" t="s">
        <v>407</v>
      </c>
      <c r="BG22" t="s">
        <v>407</v>
      </c>
    </row>
    <row r="23" spans="1:59" x14ac:dyDescent="0.3">
      <c r="A23">
        <v>80832</v>
      </c>
      <c r="B23">
        <v>16530931</v>
      </c>
      <c r="C23">
        <v>2018</v>
      </c>
      <c r="D23" s="62">
        <v>43303</v>
      </c>
      <c r="E23">
        <v>8</v>
      </c>
      <c r="F23" t="s">
        <v>408</v>
      </c>
      <c r="G23" t="s">
        <v>319</v>
      </c>
      <c r="H23" t="s">
        <v>453</v>
      </c>
      <c r="I23" t="s">
        <v>411</v>
      </c>
      <c r="J23">
        <v>29.692251219999999</v>
      </c>
      <c r="K23">
        <v>-95.298851110000001</v>
      </c>
      <c r="L23" t="s">
        <v>321</v>
      </c>
      <c r="M23" t="s">
        <v>322</v>
      </c>
      <c r="N23" t="s">
        <v>323</v>
      </c>
      <c r="O23" t="s">
        <v>324</v>
      </c>
      <c r="P23" t="s">
        <v>414</v>
      </c>
      <c r="Q23" t="s">
        <v>331</v>
      </c>
      <c r="R23" t="s">
        <v>406</v>
      </c>
      <c r="S23">
        <v>0</v>
      </c>
      <c r="T23">
        <v>0</v>
      </c>
      <c r="U23">
        <v>0</v>
      </c>
      <c r="V23">
        <v>0</v>
      </c>
      <c r="W23">
        <v>0</v>
      </c>
      <c r="X23">
        <v>2</v>
      </c>
      <c r="Y23">
        <v>0</v>
      </c>
      <c r="Z23">
        <v>0</v>
      </c>
      <c r="AA23">
        <v>0</v>
      </c>
      <c r="AB23">
        <v>0</v>
      </c>
      <c r="AC23">
        <v>0</v>
      </c>
      <c r="AD23">
        <v>2</v>
      </c>
      <c r="AE23">
        <v>0</v>
      </c>
      <c r="AF23">
        <v>0</v>
      </c>
      <c r="AG23">
        <v>0</v>
      </c>
      <c r="AH23">
        <v>0</v>
      </c>
      <c r="AI23">
        <v>0</v>
      </c>
      <c r="AJ23">
        <v>0</v>
      </c>
      <c r="AK23">
        <v>0</v>
      </c>
      <c r="AL23">
        <v>0</v>
      </c>
      <c r="AM23">
        <v>0</v>
      </c>
      <c r="AN23">
        <v>0</v>
      </c>
      <c r="AO23">
        <v>0</v>
      </c>
      <c r="AP23">
        <v>0</v>
      </c>
      <c r="AQ23">
        <v>0</v>
      </c>
      <c r="AR23">
        <v>0</v>
      </c>
      <c r="AS23">
        <v>0</v>
      </c>
      <c r="AT23">
        <v>0</v>
      </c>
      <c r="AU23" t="s">
        <v>242</v>
      </c>
      <c r="AV23" t="s">
        <v>457</v>
      </c>
      <c r="AW23" t="s">
        <v>328</v>
      </c>
      <c r="AX23" t="s">
        <v>458</v>
      </c>
      <c r="AY23">
        <v>77087</v>
      </c>
      <c r="AZ23">
        <v>48201332900</v>
      </c>
      <c r="BA23" t="s">
        <v>329</v>
      </c>
      <c r="BB23" t="s">
        <v>330</v>
      </c>
      <c r="BC23">
        <v>54037</v>
      </c>
      <c r="BD23">
        <v>2892</v>
      </c>
      <c r="BE23" t="s">
        <v>407</v>
      </c>
      <c r="BF23" t="s">
        <v>407</v>
      </c>
      <c r="BG23" t="s">
        <v>407</v>
      </c>
    </row>
    <row r="24" spans="1:59" x14ac:dyDescent="0.3">
      <c r="A24">
        <v>81318</v>
      </c>
      <c r="B24">
        <v>16533345</v>
      </c>
      <c r="C24">
        <v>2018</v>
      </c>
      <c r="D24" s="62">
        <v>43304</v>
      </c>
      <c r="E24">
        <v>13</v>
      </c>
      <c r="F24" t="s">
        <v>417</v>
      </c>
      <c r="G24" t="s">
        <v>319</v>
      </c>
      <c r="H24" t="s">
        <v>453</v>
      </c>
      <c r="I24" t="s">
        <v>437</v>
      </c>
      <c r="J24">
        <v>29.6860848</v>
      </c>
      <c r="K24">
        <v>-95.296923100000001</v>
      </c>
      <c r="L24" t="s">
        <v>321</v>
      </c>
      <c r="M24" t="s">
        <v>322</v>
      </c>
      <c r="N24" t="s">
        <v>323</v>
      </c>
      <c r="O24" t="s">
        <v>324</v>
      </c>
      <c r="P24" t="s">
        <v>283</v>
      </c>
      <c r="Q24" t="s">
        <v>331</v>
      </c>
      <c r="R24" t="s">
        <v>468</v>
      </c>
      <c r="S24">
        <v>0</v>
      </c>
      <c r="T24">
        <v>0</v>
      </c>
      <c r="U24">
        <v>0</v>
      </c>
      <c r="V24">
        <v>1</v>
      </c>
      <c r="W24">
        <v>1</v>
      </c>
      <c r="X24">
        <v>1</v>
      </c>
      <c r="Y24">
        <v>0</v>
      </c>
      <c r="Z24">
        <v>0</v>
      </c>
      <c r="AA24">
        <v>0</v>
      </c>
      <c r="AB24">
        <v>0</v>
      </c>
      <c r="AC24">
        <v>1</v>
      </c>
      <c r="AD24">
        <v>1</v>
      </c>
      <c r="AE24">
        <v>1</v>
      </c>
      <c r="AF24">
        <v>0</v>
      </c>
      <c r="AG24">
        <v>0</v>
      </c>
      <c r="AH24">
        <v>0</v>
      </c>
      <c r="AI24">
        <v>0</v>
      </c>
      <c r="AJ24">
        <v>0</v>
      </c>
      <c r="AK24">
        <v>0</v>
      </c>
      <c r="AL24">
        <v>0</v>
      </c>
      <c r="AM24">
        <v>0</v>
      </c>
      <c r="AN24">
        <v>0</v>
      </c>
      <c r="AO24">
        <v>0</v>
      </c>
      <c r="AP24">
        <v>0</v>
      </c>
      <c r="AQ24">
        <v>0</v>
      </c>
      <c r="AR24">
        <v>0</v>
      </c>
      <c r="AS24">
        <v>0</v>
      </c>
      <c r="AT24">
        <v>0</v>
      </c>
      <c r="AU24" t="s">
        <v>242</v>
      </c>
      <c r="AV24" t="s">
        <v>457</v>
      </c>
      <c r="AW24" t="s">
        <v>328</v>
      </c>
      <c r="AX24" t="s">
        <v>458</v>
      </c>
      <c r="AY24">
        <v>77087</v>
      </c>
      <c r="AZ24">
        <v>48201332800</v>
      </c>
      <c r="BA24" t="s">
        <v>329</v>
      </c>
      <c r="BB24" t="s">
        <v>330</v>
      </c>
      <c r="BC24">
        <v>53817</v>
      </c>
      <c r="BD24">
        <v>2840</v>
      </c>
      <c r="BE24" t="s">
        <v>407</v>
      </c>
      <c r="BF24" t="s">
        <v>407</v>
      </c>
      <c r="BG24" t="s">
        <v>407</v>
      </c>
    </row>
    <row r="25" spans="1:59" x14ac:dyDescent="0.3">
      <c r="A25">
        <v>82674</v>
      </c>
      <c r="B25">
        <v>16538838</v>
      </c>
      <c r="C25">
        <v>2018</v>
      </c>
      <c r="D25" s="62">
        <v>43307</v>
      </c>
      <c r="E25">
        <v>11</v>
      </c>
      <c r="F25" t="s">
        <v>425</v>
      </c>
      <c r="G25" t="s">
        <v>319</v>
      </c>
      <c r="H25" t="s">
        <v>469</v>
      </c>
      <c r="I25" t="s">
        <v>427</v>
      </c>
      <c r="J25">
        <v>29.685156620000001</v>
      </c>
      <c r="K25">
        <v>-95.296076909999996</v>
      </c>
      <c r="L25" t="s">
        <v>420</v>
      </c>
      <c r="M25" t="s">
        <v>322</v>
      </c>
      <c r="N25" t="s">
        <v>438</v>
      </c>
      <c r="O25" t="s">
        <v>324</v>
      </c>
      <c r="P25" t="s">
        <v>414</v>
      </c>
      <c r="Q25" t="s">
        <v>331</v>
      </c>
      <c r="R25" t="s">
        <v>416</v>
      </c>
      <c r="S25">
        <v>0</v>
      </c>
      <c r="T25">
        <v>0</v>
      </c>
      <c r="U25">
        <v>0</v>
      </c>
      <c r="V25">
        <v>0</v>
      </c>
      <c r="W25">
        <v>0</v>
      </c>
      <c r="X25">
        <v>4</v>
      </c>
      <c r="Y25">
        <v>0</v>
      </c>
      <c r="Z25">
        <v>0</v>
      </c>
      <c r="AA25">
        <v>0</v>
      </c>
      <c r="AB25">
        <v>0</v>
      </c>
      <c r="AC25">
        <v>0</v>
      </c>
      <c r="AD25">
        <v>4</v>
      </c>
      <c r="AE25">
        <v>0</v>
      </c>
      <c r="AF25">
        <v>0</v>
      </c>
      <c r="AG25">
        <v>0</v>
      </c>
      <c r="AH25">
        <v>0</v>
      </c>
      <c r="AI25">
        <v>0</v>
      </c>
      <c r="AJ25">
        <v>0</v>
      </c>
      <c r="AK25">
        <v>0</v>
      </c>
      <c r="AL25">
        <v>0</v>
      </c>
      <c r="AM25">
        <v>0</v>
      </c>
      <c r="AN25">
        <v>0</v>
      </c>
      <c r="AO25">
        <v>0</v>
      </c>
      <c r="AP25">
        <v>0</v>
      </c>
      <c r="AQ25">
        <v>0</v>
      </c>
      <c r="AR25">
        <v>0</v>
      </c>
      <c r="AS25">
        <v>0</v>
      </c>
      <c r="AT25">
        <v>0</v>
      </c>
      <c r="AU25" t="s">
        <v>242</v>
      </c>
      <c r="AV25" t="s">
        <v>457</v>
      </c>
      <c r="AW25" t="s">
        <v>328</v>
      </c>
      <c r="AX25" t="s">
        <v>458</v>
      </c>
      <c r="AY25">
        <v>77087</v>
      </c>
      <c r="AZ25">
        <v>48201332900</v>
      </c>
      <c r="BA25" t="s">
        <v>329</v>
      </c>
      <c r="BB25" t="s">
        <v>330</v>
      </c>
      <c r="BC25">
        <v>53817</v>
      </c>
      <c r="BD25">
        <v>2840</v>
      </c>
      <c r="BE25" t="s">
        <v>407</v>
      </c>
      <c r="BF25" t="s">
        <v>407</v>
      </c>
      <c r="BG25" t="s">
        <v>407</v>
      </c>
    </row>
    <row r="26" spans="1:59" x14ac:dyDescent="0.3">
      <c r="A26">
        <v>83422</v>
      </c>
      <c r="B26">
        <v>16541468</v>
      </c>
      <c r="C26">
        <v>2018</v>
      </c>
      <c r="D26" s="62">
        <v>43300</v>
      </c>
      <c r="E26">
        <v>15</v>
      </c>
      <c r="F26" t="s">
        <v>425</v>
      </c>
      <c r="G26" t="s">
        <v>319</v>
      </c>
      <c r="H26" t="s">
        <v>453</v>
      </c>
      <c r="I26" t="s">
        <v>437</v>
      </c>
      <c r="J26">
        <v>29.691383330000001</v>
      </c>
      <c r="K26">
        <v>-95.298784740000002</v>
      </c>
      <c r="L26" t="s">
        <v>321</v>
      </c>
      <c r="M26" t="s">
        <v>322</v>
      </c>
      <c r="N26" t="s">
        <v>323</v>
      </c>
      <c r="O26" t="s">
        <v>324</v>
      </c>
      <c r="P26" t="s">
        <v>414</v>
      </c>
      <c r="Q26" t="s">
        <v>332</v>
      </c>
      <c r="R26" t="s">
        <v>416</v>
      </c>
      <c r="S26">
        <v>0</v>
      </c>
      <c r="T26">
        <v>0</v>
      </c>
      <c r="U26">
        <v>0</v>
      </c>
      <c r="V26">
        <v>0</v>
      </c>
      <c r="W26">
        <v>0</v>
      </c>
      <c r="X26">
        <v>2</v>
      </c>
      <c r="Y26">
        <v>0</v>
      </c>
      <c r="Z26">
        <v>0</v>
      </c>
      <c r="AA26">
        <v>0</v>
      </c>
      <c r="AB26">
        <v>0</v>
      </c>
      <c r="AC26">
        <v>0</v>
      </c>
      <c r="AD26">
        <v>2</v>
      </c>
      <c r="AE26">
        <v>0</v>
      </c>
      <c r="AF26">
        <v>0</v>
      </c>
      <c r="AG26">
        <v>0</v>
      </c>
      <c r="AH26">
        <v>0</v>
      </c>
      <c r="AI26">
        <v>0</v>
      </c>
      <c r="AJ26">
        <v>0</v>
      </c>
      <c r="AK26">
        <v>0</v>
      </c>
      <c r="AL26">
        <v>0</v>
      </c>
      <c r="AM26">
        <v>0</v>
      </c>
      <c r="AN26">
        <v>0</v>
      </c>
      <c r="AO26">
        <v>0</v>
      </c>
      <c r="AP26">
        <v>0</v>
      </c>
      <c r="AQ26">
        <v>0</v>
      </c>
      <c r="AR26">
        <v>0</v>
      </c>
      <c r="AS26">
        <v>0</v>
      </c>
      <c r="AT26">
        <v>0</v>
      </c>
      <c r="AU26" t="s">
        <v>242</v>
      </c>
      <c r="AV26" t="s">
        <v>457</v>
      </c>
      <c r="AW26" t="s">
        <v>328</v>
      </c>
      <c r="AX26" t="s">
        <v>458</v>
      </c>
      <c r="AY26">
        <v>77087</v>
      </c>
      <c r="AZ26">
        <v>48201332900</v>
      </c>
      <c r="BA26" t="s">
        <v>329</v>
      </c>
      <c r="BB26" t="s">
        <v>330</v>
      </c>
      <c r="BC26">
        <v>54037</v>
      </c>
      <c r="BD26">
        <v>2892</v>
      </c>
      <c r="BE26" t="s">
        <v>470</v>
      </c>
      <c r="BF26" t="s">
        <v>407</v>
      </c>
      <c r="BG26" t="s">
        <v>407</v>
      </c>
    </row>
    <row r="27" spans="1:59" x14ac:dyDescent="0.3">
      <c r="A27">
        <v>84676</v>
      </c>
      <c r="B27">
        <v>16546867</v>
      </c>
      <c r="C27">
        <v>2018</v>
      </c>
      <c r="D27" s="62">
        <v>43309</v>
      </c>
      <c r="E27">
        <v>12</v>
      </c>
      <c r="F27" t="s">
        <v>436</v>
      </c>
      <c r="G27" t="s">
        <v>319</v>
      </c>
      <c r="H27" t="s">
        <v>453</v>
      </c>
      <c r="I27" t="s">
        <v>427</v>
      </c>
      <c r="J27">
        <v>29.69351481</v>
      </c>
      <c r="K27">
        <v>-95.299363110000002</v>
      </c>
      <c r="L27" t="s">
        <v>321</v>
      </c>
      <c r="M27" t="s">
        <v>322</v>
      </c>
      <c r="N27" t="s">
        <v>429</v>
      </c>
      <c r="O27" t="s">
        <v>324</v>
      </c>
      <c r="P27" t="s">
        <v>414</v>
      </c>
      <c r="Q27" t="s">
        <v>331</v>
      </c>
      <c r="R27" t="s">
        <v>434</v>
      </c>
      <c r="S27">
        <v>0</v>
      </c>
      <c r="T27">
        <v>0</v>
      </c>
      <c r="U27">
        <v>0</v>
      </c>
      <c r="V27">
        <v>0</v>
      </c>
      <c r="W27">
        <v>0</v>
      </c>
      <c r="X27">
        <v>3</v>
      </c>
      <c r="Y27">
        <v>0</v>
      </c>
      <c r="Z27">
        <v>0</v>
      </c>
      <c r="AA27">
        <v>0</v>
      </c>
      <c r="AB27">
        <v>0</v>
      </c>
      <c r="AC27">
        <v>0</v>
      </c>
      <c r="AD27">
        <v>3</v>
      </c>
      <c r="AE27">
        <v>0</v>
      </c>
      <c r="AF27">
        <v>0</v>
      </c>
      <c r="AG27">
        <v>0</v>
      </c>
      <c r="AH27">
        <v>0</v>
      </c>
      <c r="AI27">
        <v>0</v>
      </c>
      <c r="AJ27">
        <v>0</v>
      </c>
      <c r="AK27">
        <v>0</v>
      </c>
      <c r="AL27">
        <v>0</v>
      </c>
      <c r="AM27">
        <v>0</v>
      </c>
      <c r="AN27">
        <v>0</v>
      </c>
      <c r="AO27">
        <v>0</v>
      </c>
      <c r="AP27">
        <v>0</v>
      </c>
      <c r="AQ27">
        <v>0</v>
      </c>
      <c r="AR27">
        <v>0</v>
      </c>
      <c r="AS27">
        <v>0</v>
      </c>
      <c r="AT27">
        <v>0</v>
      </c>
      <c r="AU27" t="s">
        <v>242</v>
      </c>
      <c r="AV27" t="s">
        <v>457</v>
      </c>
      <c r="AW27" t="s">
        <v>328</v>
      </c>
      <c r="AX27" t="s">
        <v>458</v>
      </c>
      <c r="AY27">
        <v>77087</v>
      </c>
      <c r="AZ27">
        <v>48201332800</v>
      </c>
      <c r="BA27" t="s">
        <v>329</v>
      </c>
      <c r="BB27" t="s">
        <v>330</v>
      </c>
      <c r="BC27">
        <v>54257</v>
      </c>
      <c r="BD27">
        <v>2892</v>
      </c>
      <c r="BE27" t="s">
        <v>407</v>
      </c>
      <c r="BF27" t="s">
        <v>407</v>
      </c>
      <c r="BG27" t="s">
        <v>407</v>
      </c>
    </row>
    <row r="28" spans="1:59" x14ac:dyDescent="0.3">
      <c r="A28">
        <v>88598</v>
      </c>
      <c r="B28">
        <v>16564446</v>
      </c>
      <c r="C28">
        <v>2018</v>
      </c>
      <c r="D28" s="62">
        <v>43322</v>
      </c>
      <c r="E28">
        <v>18</v>
      </c>
      <c r="F28" t="s">
        <v>418</v>
      </c>
      <c r="G28" t="s">
        <v>319</v>
      </c>
      <c r="H28" t="s">
        <v>453</v>
      </c>
      <c r="I28" t="s">
        <v>427</v>
      </c>
      <c r="J28">
        <v>29.69346367</v>
      </c>
      <c r="K28">
        <v>-95.299340380000004</v>
      </c>
      <c r="L28" t="s">
        <v>321</v>
      </c>
      <c r="M28" t="s">
        <v>322</v>
      </c>
      <c r="N28" t="s">
        <v>323</v>
      </c>
      <c r="O28" t="s">
        <v>324</v>
      </c>
      <c r="P28" t="s">
        <v>414</v>
      </c>
      <c r="Q28" t="s">
        <v>278</v>
      </c>
      <c r="R28" t="s">
        <v>426</v>
      </c>
      <c r="S28">
        <v>0</v>
      </c>
      <c r="T28">
        <v>0</v>
      </c>
      <c r="U28">
        <v>0</v>
      </c>
      <c r="V28">
        <v>0</v>
      </c>
      <c r="W28">
        <v>0</v>
      </c>
      <c r="X28">
        <v>4</v>
      </c>
      <c r="Y28">
        <v>0</v>
      </c>
      <c r="Z28">
        <v>0</v>
      </c>
      <c r="AA28">
        <v>0</v>
      </c>
      <c r="AB28">
        <v>0</v>
      </c>
      <c r="AC28">
        <v>0</v>
      </c>
      <c r="AD28">
        <v>4</v>
      </c>
      <c r="AE28">
        <v>0</v>
      </c>
      <c r="AF28">
        <v>0</v>
      </c>
      <c r="AG28">
        <v>0</v>
      </c>
      <c r="AH28">
        <v>0</v>
      </c>
      <c r="AI28">
        <v>0</v>
      </c>
      <c r="AJ28">
        <v>0</v>
      </c>
      <c r="AK28">
        <v>0</v>
      </c>
      <c r="AL28">
        <v>0</v>
      </c>
      <c r="AM28">
        <v>0</v>
      </c>
      <c r="AN28">
        <v>0</v>
      </c>
      <c r="AO28">
        <v>0</v>
      </c>
      <c r="AP28">
        <v>0</v>
      </c>
      <c r="AQ28">
        <v>0</v>
      </c>
      <c r="AR28">
        <v>0</v>
      </c>
      <c r="AS28">
        <v>0</v>
      </c>
      <c r="AT28">
        <v>0</v>
      </c>
      <c r="AU28" t="s">
        <v>242</v>
      </c>
      <c r="AV28" t="s">
        <v>457</v>
      </c>
      <c r="AW28" t="s">
        <v>328</v>
      </c>
      <c r="AX28" t="s">
        <v>458</v>
      </c>
      <c r="AY28">
        <v>77087</v>
      </c>
      <c r="AZ28">
        <v>48201332800</v>
      </c>
      <c r="BA28" t="s">
        <v>329</v>
      </c>
      <c r="BB28" t="s">
        <v>330</v>
      </c>
      <c r="BC28">
        <v>54257</v>
      </c>
      <c r="BD28">
        <v>2892</v>
      </c>
      <c r="BE28" t="s">
        <v>407</v>
      </c>
      <c r="BF28" t="s">
        <v>407</v>
      </c>
      <c r="BG28" t="s">
        <v>407</v>
      </c>
    </row>
    <row r="29" spans="1:59" x14ac:dyDescent="0.3">
      <c r="A29">
        <v>95016</v>
      </c>
      <c r="B29">
        <v>16590535</v>
      </c>
      <c r="C29">
        <v>2018</v>
      </c>
      <c r="D29" s="62">
        <v>43335</v>
      </c>
      <c r="E29">
        <v>17</v>
      </c>
      <c r="F29" t="s">
        <v>425</v>
      </c>
      <c r="G29" t="s">
        <v>319</v>
      </c>
      <c r="H29" t="s">
        <v>453</v>
      </c>
      <c r="I29" t="s">
        <v>411</v>
      </c>
      <c r="J29">
        <v>29.685275270000002</v>
      </c>
      <c r="K29">
        <v>-95.296458389999998</v>
      </c>
      <c r="L29" t="s">
        <v>321</v>
      </c>
      <c r="M29" t="s">
        <v>322</v>
      </c>
      <c r="N29" t="s">
        <v>429</v>
      </c>
      <c r="O29" t="s">
        <v>445</v>
      </c>
      <c r="P29" t="s">
        <v>414</v>
      </c>
      <c r="Q29" t="s">
        <v>332</v>
      </c>
      <c r="R29" t="s">
        <v>471</v>
      </c>
      <c r="S29">
        <v>0</v>
      </c>
      <c r="T29">
        <v>0</v>
      </c>
      <c r="U29">
        <v>0</v>
      </c>
      <c r="V29">
        <v>0</v>
      </c>
      <c r="W29">
        <v>0</v>
      </c>
      <c r="X29">
        <v>1</v>
      </c>
      <c r="Y29">
        <v>0</v>
      </c>
      <c r="Z29">
        <v>0</v>
      </c>
      <c r="AA29">
        <v>0</v>
      </c>
      <c r="AB29">
        <v>0</v>
      </c>
      <c r="AC29">
        <v>0</v>
      </c>
      <c r="AD29">
        <v>1</v>
      </c>
      <c r="AE29">
        <v>0</v>
      </c>
      <c r="AF29">
        <v>0</v>
      </c>
      <c r="AG29">
        <v>0</v>
      </c>
      <c r="AH29">
        <v>0</v>
      </c>
      <c r="AI29">
        <v>0</v>
      </c>
      <c r="AJ29">
        <v>0</v>
      </c>
      <c r="AK29">
        <v>0</v>
      </c>
      <c r="AL29">
        <v>0</v>
      </c>
      <c r="AM29">
        <v>0</v>
      </c>
      <c r="AN29">
        <v>0</v>
      </c>
      <c r="AO29">
        <v>0</v>
      </c>
      <c r="AP29">
        <v>0</v>
      </c>
      <c r="AQ29">
        <v>0</v>
      </c>
      <c r="AR29">
        <v>0</v>
      </c>
      <c r="AS29">
        <v>0</v>
      </c>
      <c r="AT29">
        <v>0</v>
      </c>
      <c r="AU29" t="s">
        <v>242</v>
      </c>
      <c r="AV29" t="s">
        <v>457</v>
      </c>
      <c r="AW29" t="s">
        <v>328</v>
      </c>
      <c r="AX29" t="s">
        <v>458</v>
      </c>
      <c r="AY29">
        <v>77087</v>
      </c>
      <c r="AZ29">
        <v>48201332800</v>
      </c>
      <c r="BA29" t="s">
        <v>329</v>
      </c>
      <c r="BB29" t="s">
        <v>330</v>
      </c>
      <c r="BC29">
        <v>53817</v>
      </c>
      <c r="BD29">
        <v>2840</v>
      </c>
      <c r="BE29" t="s">
        <v>407</v>
      </c>
      <c r="BF29" t="s">
        <v>407</v>
      </c>
      <c r="BG29" t="s">
        <v>407</v>
      </c>
    </row>
    <row r="30" spans="1:59" x14ac:dyDescent="0.3">
      <c r="A30">
        <v>97029</v>
      </c>
      <c r="B30">
        <v>16601648</v>
      </c>
      <c r="C30">
        <v>2018</v>
      </c>
      <c r="D30" s="62">
        <v>43343</v>
      </c>
      <c r="E30">
        <v>19</v>
      </c>
      <c r="F30" t="s">
        <v>418</v>
      </c>
      <c r="G30" t="s">
        <v>319</v>
      </c>
      <c r="H30" t="s">
        <v>453</v>
      </c>
      <c r="I30" t="s">
        <v>427</v>
      </c>
      <c r="J30">
        <v>29.680414819999999</v>
      </c>
      <c r="K30">
        <v>-95.293353109999998</v>
      </c>
      <c r="L30" t="s">
        <v>321</v>
      </c>
      <c r="M30" t="s">
        <v>440</v>
      </c>
      <c r="N30" t="s">
        <v>323</v>
      </c>
      <c r="O30" t="s">
        <v>324</v>
      </c>
      <c r="P30" t="s">
        <v>414</v>
      </c>
      <c r="Q30" t="s">
        <v>331</v>
      </c>
      <c r="R30" t="s">
        <v>326</v>
      </c>
      <c r="S30">
        <v>0</v>
      </c>
      <c r="T30">
        <v>0</v>
      </c>
      <c r="U30">
        <v>0</v>
      </c>
      <c r="V30">
        <v>0</v>
      </c>
      <c r="W30">
        <v>0</v>
      </c>
      <c r="X30">
        <v>6</v>
      </c>
      <c r="Y30">
        <v>0</v>
      </c>
      <c r="Z30">
        <v>0</v>
      </c>
      <c r="AA30">
        <v>0</v>
      </c>
      <c r="AB30">
        <v>0</v>
      </c>
      <c r="AC30">
        <v>0</v>
      </c>
      <c r="AD30">
        <v>6</v>
      </c>
      <c r="AE30">
        <v>0</v>
      </c>
      <c r="AF30">
        <v>0</v>
      </c>
      <c r="AG30">
        <v>0</v>
      </c>
      <c r="AH30">
        <v>0</v>
      </c>
      <c r="AI30">
        <v>0</v>
      </c>
      <c r="AJ30">
        <v>0</v>
      </c>
      <c r="AK30">
        <v>0</v>
      </c>
      <c r="AL30">
        <v>0</v>
      </c>
      <c r="AM30">
        <v>0</v>
      </c>
      <c r="AN30">
        <v>0</v>
      </c>
      <c r="AO30">
        <v>0</v>
      </c>
      <c r="AP30">
        <v>0</v>
      </c>
      <c r="AQ30">
        <v>0</v>
      </c>
      <c r="AR30">
        <v>0</v>
      </c>
      <c r="AS30">
        <v>0</v>
      </c>
      <c r="AT30">
        <v>0</v>
      </c>
      <c r="AU30" t="s">
        <v>242</v>
      </c>
      <c r="AV30" t="s">
        <v>327</v>
      </c>
      <c r="AW30" t="s">
        <v>328</v>
      </c>
      <c r="AX30" t="s">
        <v>458</v>
      </c>
      <c r="AY30">
        <v>77087</v>
      </c>
      <c r="AZ30">
        <v>48201332600</v>
      </c>
      <c r="BA30" t="s">
        <v>329</v>
      </c>
      <c r="BB30" t="s">
        <v>330</v>
      </c>
      <c r="BC30">
        <v>158977</v>
      </c>
      <c r="BD30">
        <v>2840</v>
      </c>
      <c r="BE30" t="s">
        <v>407</v>
      </c>
      <c r="BF30" t="s">
        <v>407</v>
      </c>
      <c r="BG30" t="s">
        <v>407</v>
      </c>
    </row>
    <row r="31" spans="1:59" x14ac:dyDescent="0.3">
      <c r="A31">
        <v>98875</v>
      </c>
      <c r="B31">
        <v>16611830</v>
      </c>
      <c r="C31">
        <v>2018</v>
      </c>
      <c r="D31" s="62">
        <v>43350</v>
      </c>
      <c r="E31">
        <v>18</v>
      </c>
      <c r="F31" t="s">
        <v>418</v>
      </c>
      <c r="G31" t="s">
        <v>319</v>
      </c>
      <c r="H31" t="s">
        <v>453</v>
      </c>
      <c r="I31" t="s">
        <v>427</v>
      </c>
      <c r="J31">
        <v>29.69466882</v>
      </c>
      <c r="K31">
        <v>-95.299892209999996</v>
      </c>
      <c r="L31" t="s">
        <v>321</v>
      </c>
      <c r="M31" t="s">
        <v>322</v>
      </c>
      <c r="N31" t="s">
        <v>323</v>
      </c>
      <c r="O31" t="s">
        <v>324</v>
      </c>
      <c r="P31" t="s">
        <v>283</v>
      </c>
      <c r="Q31" t="s">
        <v>325</v>
      </c>
      <c r="R31" t="s">
        <v>442</v>
      </c>
      <c r="S31">
        <v>0</v>
      </c>
      <c r="T31">
        <v>0</v>
      </c>
      <c r="U31">
        <v>0</v>
      </c>
      <c r="V31">
        <v>1</v>
      </c>
      <c r="W31">
        <v>1</v>
      </c>
      <c r="X31">
        <v>1</v>
      </c>
      <c r="Y31">
        <v>1</v>
      </c>
      <c r="Z31">
        <v>0</v>
      </c>
      <c r="AA31">
        <v>0</v>
      </c>
      <c r="AB31">
        <v>0</v>
      </c>
      <c r="AC31">
        <v>1</v>
      </c>
      <c r="AD31">
        <v>1</v>
      </c>
      <c r="AE31">
        <v>1</v>
      </c>
      <c r="AF31">
        <v>1</v>
      </c>
      <c r="AG31">
        <v>0</v>
      </c>
      <c r="AH31">
        <v>0</v>
      </c>
      <c r="AI31">
        <v>0</v>
      </c>
      <c r="AJ31">
        <v>0</v>
      </c>
      <c r="AK31">
        <v>0</v>
      </c>
      <c r="AL31">
        <v>0</v>
      </c>
      <c r="AM31">
        <v>0</v>
      </c>
      <c r="AN31">
        <v>0</v>
      </c>
      <c r="AO31">
        <v>0</v>
      </c>
      <c r="AP31">
        <v>0</v>
      </c>
      <c r="AQ31">
        <v>0</v>
      </c>
      <c r="AR31">
        <v>0</v>
      </c>
      <c r="AS31">
        <v>0</v>
      </c>
      <c r="AT31">
        <v>0</v>
      </c>
      <c r="AU31" t="s">
        <v>242</v>
      </c>
      <c r="AV31" t="s">
        <v>457</v>
      </c>
      <c r="AW31" t="s">
        <v>328</v>
      </c>
      <c r="AX31" t="s">
        <v>458</v>
      </c>
      <c r="AY31">
        <v>77087</v>
      </c>
      <c r="AZ31">
        <v>48201332800</v>
      </c>
      <c r="BA31" t="s">
        <v>329</v>
      </c>
      <c r="BB31" t="s">
        <v>330</v>
      </c>
      <c r="BC31">
        <v>54257</v>
      </c>
      <c r="BD31">
        <v>2892</v>
      </c>
      <c r="BE31" t="s">
        <v>407</v>
      </c>
      <c r="BF31" t="s">
        <v>407</v>
      </c>
      <c r="BG31" t="s">
        <v>407</v>
      </c>
    </row>
    <row r="32" spans="1:59" x14ac:dyDescent="0.3">
      <c r="A32">
        <v>98879</v>
      </c>
      <c r="B32">
        <v>16611842</v>
      </c>
      <c r="C32">
        <v>2018</v>
      </c>
      <c r="D32" s="62">
        <v>43341</v>
      </c>
      <c r="E32">
        <v>17</v>
      </c>
      <c r="F32" t="s">
        <v>405</v>
      </c>
      <c r="G32" t="s">
        <v>319</v>
      </c>
      <c r="H32" t="s">
        <v>453</v>
      </c>
      <c r="I32" t="s">
        <v>454</v>
      </c>
      <c r="J32">
        <v>29.691314810000002</v>
      </c>
      <c r="K32">
        <v>-95.298783110000002</v>
      </c>
      <c r="L32" t="s">
        <v>420</v>
      </c>
      <c r="M32" t="s">
        <v>322</v>
      </c>
      <c r="N32" t="s">
        <v>323</v>
      </c>
      <c r="O32" t="s">
        <v>456</v>
      </c>
      <c r="P32" t="s">
        <v>283</v>
      </c>
      <c r="Q32" t="s">
        <v>278</v>
      </c>
      <c r="R32" t="s">
        <v>434</v>
      </c>
      <c r="S32">
        <v>0</v>
      </c>
      <c r="T32">
        <v>0</v>
      </c>
      <c r="U32">
        <v>0</v>
      </c>
      <c r="V32">
        <v>1</v>
      </c>
      <c r="W32">
        <v>1</v>
      </c>
      <c r="X32">
        <v>0</v>
      </c>
      <c r="Y32">
        <v>2</v>
      </c>
      <c r="Z32">
        <v>0</v>
      </c>
      <c r="AA32">
        <v>0</v>
      </c>
      <c r="AB32">
        <v>0</v>
      </c>
      <c r="AC32">
        <v>0</v>
      </c>
      <c r="AD32">
        <v>0</v>
      </c>
      <c r="AE32">
        <v>0</v>
      </c>
      <c r="AF32">
        <v>2</v>
      </c>
      <c r="AG32">
        <v>0</v>
      </c>
      <c r="AH32">
        <v>0</v>
      </c>
      <c r="AI32">
        <v>0</v>
      </c>
      <c r="AJ32">
        <v>1</v>
      </c>
      <c r="AK32">
        <v>0</v>
      </c>
      <c r="AL32">
        <v>1</v>
      </c>
      <c r="AM32">
        <v>0</v>
      </c>
      <c r="AN32">
        <v>0</v>
      </c>
      <c r="AO32">
        <v>0</v>
      </c>
      <c r="AP32">
        <v>0</v>
      </c>
      <c r="AQ32">
        <v>0</v>
      </c>
      <c r="AR32">
        <v>0</v>
      </c>
      <c r="AS32">
        <v>0</v>
      </c>
      <c r="AT32">
        <v>0</v>
      </c>
      <c r="AU32" t="s">
        <v>242</v>
      </c>
      <c r="AV32" t="s">
        <v>457</v>
      </c>
      <c r="AW32" t="s">
        <v>328</v>
      </c>
      <c r="AX32" t="s">
        <v>458</v>
      </c>
      <c r="AY32">
        <v>77087</v>
      </c>
      <c r="AZ32">
        <v>48201332900</v>
      </c>
      <c r="BA32" t="s">
        <v>329</v>
      </c>
      <c r="BB32" t="s">
        <v>330</v>
      </c>
      <c r="BC32">
        <v>54037</v>
      </c>
      <c r="BD32">
        <v>2892</v>
      </c>
      <c r="BE32" t="s">
        <v>407</v>
      </c>
      <c r="BF32" t="s">
        <v>407</v>
      </c>
      <c r="BG32" t="s">
        <v>407</v>
      </c>
    </row>
    <row r="33" spans="1:59" x14ac:dyDescent="0.3">
      <c r="A33">
        <v>104450</v>
      </c>
      <c r="B33">
        <v>16640619</v>
      </c>
      <c r="C33">
        <v>2018</v>
      </c>
      <c r="D33" s="62">
        <v>43366</v>
      </c>
      <c r="E33">
        <v>19</v>
      </c>
      <c r="F33" t="s">
        <v>408</v>
      </c>
      <c r="G33" t="s">
        <v>319</v>
      </c>
      <c r="H33" t="s">
        <v>453</v>
      </c>
      <c r="I33" t="s">
        <v>427</v>
      </c>
      <c r="J33">
        <v>29.687686960000001</v>
      </c>
      <c r="K33">
        <v>-95.2979524</v>
      </c>
      <c r="L33" t="s">
        <v>321</v>
      </c>
      <c r="M33" t="s">
        <v>322</v>
      </c>
      <c r="N33" t="s">
        <v>323</v>
      </c>
      <c r="O33" t="s">
        <v>324</v>
      </c>
      <c r="P33" t="s">
        <v>428</v>
      </c>
      <c r="Q33" t="s">
        <v>332</v>
      </c>
      <c r="R33" t="s">
        <v>426</v>
      </c>
      <c r="S33">
        <v>0</v>
      </c>
      <c r="T33">
        <v>0</v>
      </c>
      <c r="U33">
        <v>0</v>
      </c>
      <c r="V33">
        <v>0</v>
      </c>
      <c r="W33">
        <v>0</v>
      </c>
      <c r="X33">
        <v>0</v>
      </c>
      <c r="Y33">
        <v>5</v>
      </c>
      <c r="Z33">
        <v>0</v>
      </c>
      <c r="AA33">
        <v>0</v>
      </c>
      <c r="AB33">
        <v>0</v>
      </c>
      <c r="AC33">
        <v>0</v>
      </c>
      <c r="AD33">
        <v>0</v>
      </c>
      <c r="AE33">
        <v>0</v>
      </c>
      <c r="AF33">
        <v>5</v>
      </c>
      <c r="AG33">
        <v>0</v>
      </c>
      <c r="AH33">
        <v>0</v>
      </c>
      <c r="AI33">
        <v>0</v>
      </c>
      <c r="AJ33">
        <v>0</v>
      </c>
      <c r="AK33">
        <v>0</v>
      </c>
      <c r="AL33">
        <v>0</v>
      </c>
      <c r="AM33">
        <v>0</v>
      </c>
      <c r="AN33">
        <v>0</v>
      </c>
      <c r="AO33">
        <v>0</v>
      </c>
      <c r="AP33">
        <v>0</v>
      </c>
      <c r="AQ33">
        <v>0</v>
      </c>
      <c r="AR33">
        <v>0</v>
      </c>
      <c r="AS33">
        <v>0</v>
      </c>
      <c r="AT33">
        <v>0</v>
      </c>
      <c r="AU33" t="s">
        <v>242</v>
      </c>
      <c r="AV33" t="s">
        <v>457</v>
      </c>
      <c r="AW33" t="s">
        <v>328</v>
      </c>
      <c r="AX33" t="s">
        <v>458</v>
      </c>
      <c r="AY33">
        <v>77087</v>
      </c>
      <c r="AZ33">
        <v>48201332800</v>
      </c>
      <c r="BA33" t="s">
        <v>329</v>
      </c>
      <c r="BB33" t="s">
        <v>330</v>
      </c>
      <c r="BC33">
        <v>54037</v>
      </c>
      <c r="BD33">
        <v>2892</v>
      </c>
      <c r="BE33" t="s">
        <v>407</v>
      </c>
      <c r="BF33" t="s">
        <v>407</v>
      </c>
      <c r="BG33" t="s">
        <v>407</v>
      </c>
    </row>
    <row r="34" spans="1:59" x14ac:dyDescent="0.3">
      <c r="A34">
        <v>110989</v>
      </c>
      <c r="B34">
        <v>16670377</v>
      </c>
      <c r="C34">
        <v>2018</v>
      </c>
      <c r="D34" s="62">
        <v>43380</v>
      </c>
      <c r="E34">
        <v>12</v>
      </c>
      <c r="F34" t="s">
        <v>408</v>
      </c>
      <c r="G34" t="s">
        <v>319</v>
      </c>
      <c r="H34" t="s">
        <v>453</v>
      </c>
      <c r="I34" t="s">
        <v>427</v>
      </c>
      <c r="J34">
        <v>29.690484810000001</v>
      </c>
      <c r="K34">
        <v>-95.298763109999996</v>
      </c>
      <c r="L34" t="s">
        <v>321</v>
      </c>
      <c r="M34" t="s">
        <v>322</v>
      </c>
      <c r="N34" t="s">
        <v>448</v>
      </c>
      <c r="O34" t="s">
        <v>324</v>
      </c>
      <c r="P34" t="s">
        <v>283</v>
      </c>
      <c r="Q34" t="s">
        <v>331</v>
      </c>
      <c r="R34" t="s">
        <v>472</v>
      </c>
      <c r="S34">
        <v>0</v>
      </c>
      <c r="T34">
        <v>0</v>
      </c>
      <c r="U34">
        <v>0</v>
      </c>
      <c r="V34">
        <v>1</v>
      </c>
      <c r="W34">
        <v>1</v>
      </c>
      <c r="X34">
        <v>4</v>
      </c>
      <c r="Y34">
        <v>0</v>
      </c>
      <c r="Z34">
        <v>0</v>
      </c>
      <c r="AA34">
        <v>0</v>
      </c>
      <c r="AB34">
        <v>0</v>
      </c>
      <c r="AC34">
        <v>1</v>
      </c>
      <c r="AD34">
        <v>4</v>
      </c>
      <c r="AE34">
        <v>1</v>
      </c>
      <c r="AF34">
        <v>0</v>
      </c>
      <c r="AG34">
        <v>0</v>
      </c>
      <c r="AH34">
        <v>0</v>
      </c>
      <c r="AI34">
        <v>0</v>
      </c>
      <c r="AJ34">
        <v>0</v>
      </c>
      <c r="AK34">
        <v>0</v>
      </c>
      <c r="AL34">
        <v>0</v>
      </c>
      <c r="AM34">
        <v>0</v>
      </c>
      <c r="AN34">
        <v>0</v>
      </c>
      <c r="AO34">
        <v>0</v>
      </c>
      <c r="AP34">
        <v>0</v>
      </c>
      <c r="AQ34">
        <v>0</v>
      </c>
      <c r="AR34">
        <v>0</v>
      </c>
      <c r="AS34">
        <v>0</v>
      </c>
      <c r="AT34">
        <v>0</v>
      </c>
      <c r="AU34" t="s">
        <v>242</v>
      </c>
      <c r="AV34" t="s">
        <v>457</v>
      </c>
      <c r="AW34" t="s">
        <v>328</v>
      </c>
      <c r="AX34" t="s">
        <v>458</v>
      </c>
      <c r="AY34">
        <v>77087</v>
      </c>
      <c r="AZ34">
        <v>48201332900</v>
      </c>
      <c r="BA34" t="s">
        <v>329</v>
      </c>
      <c r="BB34" t="s">
        <v>330</v>
      </c>
      <c r="BC34">
        <v>54037</v>
      </c>
      <c r="BD34">
        <v>2892</v>
      </c>
      <c r="BE34" t="s">
        <v>407</v>
      </c>
      <c r="BF34" t="s">
        <v>407</v>
      </c>
      <c r="BG34" t="s">
        <v>407</v>
      </c>
    </row>
    <row r="35" spans="1:59" x14ac:dyDescent="0.3">
      <c r="A35">
        <v>112537</v>
      </c>
      <c r="B35">
        <v>16677134</v>
      </c>
      <c r="C35">
        <v>2018</v>
      </c>
      <c r="D35" s="62">
        <v>43385</v>
      </c>
      <c r="E35">
        <v>17</v>
      </c>
      <c r="F35" t="s">
        <v>418</v>
      </c>
      <c r="G35" t="s">
        <v>319</v>
      </c>
      <c r="H35" t="s">
        <v>453</v>
      </c>
      <c r="I35" t="s">
        <v>427</v>
      </c>
      <c r="J35">
        <v>29.692434989999999</v>
      </c>
      <c r="K35">
        <v>-95.298903170000003</v>
      </c>
      <c r="L35" t="s">
        <v>321</v>
      </c>
      <c r="M35" t="s">
        <v>440</v>
      </c>
      <c r="N35" t="s">
        <v>422</v>
      </c>
      <c r="O35" t="s">
        <v>462</v>
      </c>
      <c r="P35" t="s">
        <v>428</v>
      </c>
      <c r="Q35" t="s">
        <v>332</v>
      </c>
      <c r="R35" t="s">
        <v>406</v>
      </c>
      <c r="S35">
        <v>0</v>
      </c>
      <c r="T35">
        <v>0</v>
      </c>
      <c r="U35">
        <v>0</v>
      </c>
      <c r="V35">
        <v>0</v>
      </c>
      <c r="W35">
        <v>0</v>
      </c>
      <c r="X35">
        <v>0</v>
      </c>
      <c r="Y35">
        <v>1</v>
      </c>
      <c r="Z35">
        <v>0</v>
      </c>
      <c r="AA35">
        <v>0</v>
      </c>
      <c r="AB35">
        <v>0</v>
      </c>
      <c r="AC35">
        <v>0</v>
      </c>
      <c r="AD35">
        <v>0</v>
      </c>
      <c r="AE35">
        <v>0</v>
      </c>
      <c r="AF35">
        <v>1</v>
      </c>
      <c r="AG35">
        <v>0</v>
      </c>
      <c r="AH35">
        <v>0</v>
      </c>
      <c r="AI35">
        <v>0</v>
      </c>
      <c r="AJ35">
        <v>0</v>
      </c>
      <c r="AK35">
        <v>0</v>
      </c>
      <c r="AL35">
        <v>0</v>
      </c>
      <c r="AM35">
        <v>0</v>
      </c>
      <c r="AN35">
        <v>0</v>
      </c>
      <c r="AO35">
        <v>0</v>
      </c>
      <c r="AP35">
        <v>0</v>
      </c>
      <c r="AQ35">
        <v>0</v>
      </c>
      <c r="AR35">
        <v>0</v>
      </c>
      <c r="AS35">
        <v>0</v>
      </c>
      <c r="AT35">
        <v>0</v>
      </c>
      <c r="AU35" t="s">
        <v>242</v>
      </c>
      <c r="AV35" t="s">
        <v>457</v>
      </c>
      <c r="AW35" t="s">
        <v>328</v>
      </c>
      <c r="AX35" t="s">
        <v>458</v>
      </c>
      <c r="AY35">
        <v>77087</v>
      </c>
      <c r="AZ35">
        <v>48201332900</v>
      </c>
      <c r="BA35" t="s">
        <v>329</v>
      </c>
      <c r="BB35" t="s">
        <v>330</v>
      </c>
      <c r="BC35">
        <v>54037</v>
      </c>
      <c r="BD35">
        <v>2892</v>
      </c>
      <c r="BE35" t="s">
        <v>407</v>
      </c>
      <c r="BF35" t="s">
        <v>407</v>
      </c>
      <c r="BG35" t="s">
        <v>407</v>
      </c>
    </row>
    <row r="36" spans="1:59" x14ac:dyDescent="0.3">
      <c r="A36">
        <v>116577</v>
      </c>
      <c r="B36">
        <v>16695353</v>
      </c>
      <c r="C36">
        <v>2018</v>
      </c>
      <c r="D36" s="62">
        <v>43391</v>
      </c>
      <c r="E36">
        <v>6</v>
      </c>
      <c r="F36" t="s">
        <v>425</v>
      </c>
      <c r="G36" t="s">
        <v>319</v>
      </c>
      <c r="H36" t="s">
        <v>453</v>
      </c>
      <c r="I36" t="s">
        <v>427</v>
      </c>
      <c r="J36">
        <v>29.69212886</v>
      </c>
      <c r="K36">
        <v>-95.298833119999998</v>
      </c>
      <c r="L36" t="s">
        <v>321</v>
      </c>
      <c r="M36" t="s">
        <v>431</v>
      </c>
      <c r="N36" t="s">
        <v>323</v>
      </c>
      <c r="O36" t="s">
        <v>324</v>
      </c>
      <c r="P36" t="s">
        <v>283</v>
      </c>
      <c r="Q36" t="s">
        <v>332</v>
      </c>
      <c r="R36" t="s">
        <v>406</v>
      </c>
      <c r="S36">
        <v>0</v>
      </c>
      <c r="T36">
        <v>0</v>
      </c>
      <c r="U36">
        <v>0</v>
      </c>
      <c r="V36">
        <v>1</v>
      </c>
      <c r="W36">
        <v>1</v>
      </c>
      <c r="X36">
        <v>0</v>
      </c>
      <c r="Y36">
        <v>1</v>
      </c>
      <c r="Z36">
        <v>0</v>
      </c>
      <c r="AA36">
        <v>0</v>
      </c>
      <c r="AB36">
        <v>0</v>
      </c>
      <c r="AC36">
        <v>1</v>
      </c>
      <c r="AD36">
        <v>0</v>
      </c>
      <c r="AE36">
        <v>1</v>
      </c>
      <c r="AF36">
        <v>1</v>
      </c>
      <c r="AG36">
        <v>0</v>
      </c>
      <c r="AH36">
        <v>0</v>
      </c>
      <c r="AI36">
        <v>0</v>
      </c>
      <c r="AJ36">
        <v>0</v>
      </c>
      <c r="AK36">
        <v>0</v>
      </c>
      <c r="AL36">
        <v>0</v>
      </c>
      <c r="AM36">
        <v>0</v>
      </c>
      <c r="AN36">
        <v>0</v>
      </c>
      <c r="AO36">
        <v>0</v>
      </c>
      <c r="AP36">
        <v>0</v>
      </c>
      <c r="AQ36">
        <v>0</v>
      </c>
      <c r="AR36">
        <v>0</v>
      </c>
      <c r="AS36">
        <v>0</v>
      </c>
      <c r="AT36">
        <v>0</v>
      </c>
      <c r="AU36" t="s">
        <v>242</v>
      </c>
      <c r="AV36" t="s">
        <v>457</v>
      </c>
      <c r="AW36" t="s">
        <v>328</v>
      </c>
      <c r="AX36" t="s">
        <v>458</v>
      </c>
      <c r="AY36">
        <v>77087</v>
      </c>
      <c r="AZ36">
        <v>48201332900</v>
      </c>
      <c r="BA36" t="s">
        <v>329</v>
      </c>
      <c r="BB36" t="s">
        <v>330</v>
      </c>
      <c r="BC36">
        <v>54037</v>
      </c>
      <c r="BD36">
        <v>2892</v>
      </c>
      <c r="BE36" t="s">
        <v>407</v>
      </c>
      <c r="BF36" t="s">
        <v>407</v>
      </c>
      <c r="BG36" t="s">
        <v>407</v>
      </c>
    </row>
    <row r="37" spans="1:59" x14ac:dyDescent="0.3">
      <c r="A37">
        <v>117448</v>
      </c>
      <c r="B37">
        <v>16697113</v>
      </c>
      <c r="C37">
        <v>2018</v>
      </c>
      <c r="D37" s="62">
        <v>43395</v>
      </c>
      <c r="E37">
        <v>18</v>
      </c>
      <c r="F37" t="s">
        <v>417</v>
      </c>
      <c r="G37" t="s">
        <v>319</v>
      </c>
      <c r="H37" t="s">
        <v>453</v>
      </c>
      <c r="I37" t="s">
        <v>423</v>
      </c>
      <c r="J37">
        <v>29.682784810000001</v>
      </c>
      <c r="K37">
        <v>-95.294893110000004</v>
      </c>
      <c r="L37" t="s">
        <v>420</v>
      </c>
      <c r="M37" t="s">
        <v>322</v>
      </c>
      <c r="N37" t="s">
        <v>323</v>
      </c>
      <c r="O37" t="s">
        <v>324</v>
      </c>
      <c r="P37" t="s">
        <v>414</v>
      </c>
      <c r="Q37" t="s">
        <v>325</v>
      </c>
      <c r="R37" t="s">
        <v>412</v>
      </c>
      <c r="S37">
        <v>0</v>
      </c>
      <c r="T37">
        <v>0</v>
      </c>
      <c r="U37">
        <v>0</v>
      </c>
      <c r="V37">
        <v>0</v>
      </c>
      <c r="W37">
        <v>0</v>
      </c>
      <c r="X37">
        <v>3</v>
      </c>
      <c r="Y37">
        <v>0</v>
      </c>
      <c r="Z37">
        <v>0</v>
      </c>
      <c r="AA37">
        <v>0</v>
      </c>
      <c r="AB37">
        <v>0</v>
      </c>
      <c r="AC37">
        <v>0</v>
      </c>
      <c r="AD37">
        <v>3</v>
      </c>
      <c r="AE37">
        <v>0</v>
      </c>
      <c r="AF37">
        <v>0</v>
      </c>
      <c r="AG37">
        <v>0</v>
      </c>
      <c r="AH37">
        <v>0</v>
      </c>
      <c r="AI37">
        <v>0</v>
      </c>
      <c r="AJ37">
        <v>0</v>
      </c>
      <c r="AK37">
        <v>0</v>
      </c>
      <c r="AL37">
        <v>0</v>
      </c>
      <c r="AM37">
        <v>0</v>
      </c>
      <c r="AN37">
        <v>0</v>
      </c>
      <c r="AO37">
        <v>0</v>
      </c>
      <c r="AP37">
        <v>0</v>
      </c>
      <c r="AQ37">
        <v>0</v>
      </c>
      <c r="AR37">
        <v>0</v>
      </c>
      <c r="AS37">
        <v>0</v>
      </c>
      <c r="AT37">
        <v>0</v>
      </c>
      <c r="AU37" t="s">
        <v>242</v>
      </c>
      <c r="AV37" t="s">
        <v>457</v>
      </c>
      <c r="AW37" t="s">
        <v>328</v>
      </c>
      <c r="AX37" t="s">
        <v>458</v>
      </c>
      <c r="AY37">
        <v>77087</v>
      </c>
      <c r="AZ37">
        <v>48201332700</v>
      </c>
      <c r="BA37" t="s">
        <v>329</v>
      </c>
      <c r="BB37" t="s">
        <v>330</v>
      </c>
      <c r="BC37">
        <v>158977</v>
      </c>
      <c r="BD37">
        <v>2840</v>
      </c>
      <c r="BE37" t="s">
        <v>407</v>
      </c>
      <c r="BF37" t="s">
        <v>407</v>
      </c>
      <c r="BG37" t="s">
        <v>407</v>
      </c>
    </row>
    <row r="38" spans="1:59" x14ac:dyDescent="0.3">
      <c r="A38">
        <v>119299</v>
      </c>
      <c r="B38">
        <v>16704239</v>
      </c>
      <c r="C38">
        <v>2018</v>
      </c>
      <c r="D38" s="62">
        <v>43397</v>
      </c>
      <c r="E38">
        <v>21</v>
      </c>
      <c r="F38" t="s">
        <v>405</v>
      </c>
      <c r="G38" t="s">
        <v>319</v>
      </c>
      <c r="H38" t="s">
        <v>473</v>
      </c>
      <c r="I38" t="s">
        <v>437</v>
      </c>
      <c r="J38">
        <v>29.675195339999998</v>
      </c>
      <c r="K38">
        <v>-95.289244929999995</v>
      </c>
      <c r="L38" t="s">
        <v>430</v>
      </c>
      <c r="M38" t="s">
        <v>431</v>
      </c>
      <c r="N38" t="s">
        <v>323</v>
      </c>
      <c r="O38" t="s">
        <v>324</v>
      </c>
      <c r="P38" t="s">
        <v>414</v>
      </c>
      <c r="Q38" t="s">
        <v>278</v>
      </c>
      <c r="R38" t="s">
        <v>434</v>
      </c>
      <c r="S38">
        <v>0</v>
      </c>
      <c r="T38">
        <v>0</v>
      </c>
      <c r="U38">
        <v>0</v>
      </c>
      <c r="V38">
        <v>0</v>
      </c>
      <c r="W38">
        <v>0</v>
      </c>
      <c r="X38">
        <v>3</v>
      </c>
      <c r="Y38">
        <v>0</v>
      </c>
      <c r="Z38">
        <v>0</v>
      </c>
      <c r="AA38">
        <v>0</v>
      </c>
      <c r="AB38">
        <v>0</v>
      </c>
      <c r="AC38">
        <v>0</v>
      </c>
      <c r="AD38">
        <v>3</v>
      </c>
      <c r="AE38">
        <v>0</v>
      </c>
      <c r="AF38">
        <v>0</v>
      </c>
      <c r="AG38">
        <v>0</v>
      </c>
      <c r="AH38">
        <v>0</v>
      </c>
      <c r="AI38">
        <v>0</v>
      </c>
      <c r="AJ38">
        <v>0</v>
      </c>
      <c r="AK38">
        <v>0</v>
      </c>
      <c r="AL38">
        <v>0</v>
      </c>
      <c r="AM38">
        <v>0</v>
      </c>
      <c r="AN38">
        <v>0</v>
      </c>
      <c r="AO38">
        <v>0</v>
      </c>
      <c r="AP38">
        <v>0</v>
      </c>
      <c r="AQ38">
        <v>0</v>
      </c>
      <c r="AR38">
        <v>0</v>
      </c>
      <c r="AS38">
        <v>0</v>
      </c>
      <c r="AT38">
        <v>0</v>
      </c>
      <c r="AU38" t="s">
        <v>242</v>
      </c>
      <c r="AV38" t="s">
        <v>457</v>
      </c>
      <c r="AW38" t="s">
        <v>328</v>
      </c>
      <c r="AX38" t="s">
        <v>458</v>
      </c>
      <c r="AY38">
        <v>77087</v>
      </c>
      <c r="AZ38">
        <v>48201333000</v>
      </c>
      <c r="BA38" t="s">
        <v>329</v>
      </c>
      <c r="BB38" t="s">
        <v>330</v>
      </c>
      <c r="BC38">
        <v>53378</v>
      </c>
      <c r="BD38">
        <v>2840</v>
      </c>
      <c r="BE38" t="s">
        <v>407</v>
      </c>
      <c r="BF38" t="s">
        <v>407</v>
      </c>
      <c r="BG38" t="s">
        <v>407</v>
      </c>
    </row>
    <row r="39" spans="1:59" x14ac:dyDescent="0.3">
      <c r="A39">
        <v>123426</v>
      </c>
      <c r="B39">
        <v>16724834</v>
      </c>
      <c r="C39">
        <v>2018</v>
      </c>
      <c r="D39" s="62">
        <v>43396</v>
      </c>
      <c r="E39">
        <v>8</v>
      </c>
      <c r="F39" t="s">
        <v>318</v>
      </c>
      <c r="G39" t="s">
        <v>319</v>
      </c>
      <c r="H39" t="s">
        <v>453</v>
      </c>
      <c r="I39" t="s">
        <v>446</v>
      </c>
      <c r="J39">
        <v>29.685275270000002</v>
      </c>
      <c r="K39">
        <v>-95.296458389999998</v>
      </c>
      <c r="L39" t="s">
        <v>430</v>
      </c>
      <c r="M39" t="s">
        <v>322</v>
      </c>
      <c r="N39" t="s">
        <v>422</v>
      </c>
      <c r="O39" t="s">
        <v>324</v>
      </c>
      <c r="P39" t="s">
        <v>414</v>
      </c>
      <c r="Q39" t="s">
        <v>325</v>
      </c>
      <c r="R39" t="s">
        <v>474</v>
      </c>
      <c r="S39">
        <v>0</v>
      </c>
      <c r="T39">
        <v>0</v>
      </c>
      <c r="U39">
        <v>0</v>
      </c>
      <c r="V39">
        <v>0</v>
      </c>
      <c r="W39">
        <v>0</v>
      </c>
      <c r="X39">
        <v>1</v>
      </c>
      <c r="Y39">
        <v>1</v>
      </c>
      <c r="Z39">
        <v>0</v>
      </c>
      <c r="AA39">
        <v>0</v>
      </c>
      <c r="AB39">
        <v>0</v>
      </c>
      <c r="AC39">
        <v>0</v>
      </c>
      <c r="AD39">
        <v>1</v>
      </c>
      <c r="AE39">
        <v>0</v>
      </c>
      <c r="AF39">
        <v>1</v>
      </c>
      <c r="AG39">
        <v>0</v>
      </c>
      <c r="AH39">
        <v>0</v>
      </c>
      <c r="AI39">
        <v>0</v>
      </c>
      <c r="AJ39">
        <v>0</v>
      </c>
      <c r="AK39">
        <v>0</v>
      </c>
      <c r="AL39">
        <v>0</v>
      </c>
      <c r="AM39">
        <v>0</v>
      </c>
      <c r="AN39">
        <v>0</v>
      </c>
      <c r="AO39">
        <v>0</v>
      </c>
      <c r="AP39">
        <v>0</v>
      </c>
      <c r="AQ39">
        <v>0</v>
      </c>
      <c r="AR39">
        <v>0</v>
      </c>
      <c r="AS39">
        <v>0</v>
      </c>
      <c r="AT39">
        <v>0</v>
      </c>
      <c r="AU39" t="s">
        <v>242</v>
      </c>
      <c r="AV39" t="s">
        <v>457</v>
      </c>
      <c r="AW39" t="s">
        <v>328</v>
      </c>
      <c r="AX39" t="s">
        <v>458</v>
      </c>
      <c r="AY39">
        <v>77087</v>
      </c>
      <c r="AZ39">
        <v>48201332800</v>
      </c>
      <c r="BA39" t="s">
        <v>329</v>
      </c>
      <c r="BB39" t="s">
        <v>330</v>
      </c>
      <c r="BC39">
        <v>53817</v>
      </c>
      <c r="BD39">
        <v>2840</v>
      </c>
      <c r="BE39" t="s">
        <v>407</v>
      </c>
      <c r="BF39" t="s">
        <v>407</v>
      </c>
      <c r="BG39" t="s">
        <v>407</v>
      </c>
    </row>
    <row r="40" spans="1:59" x14ac:dyDescent="0.3">
      <c r="A40">
        <v>124956</v>
      </c>
      <c r="B40">
        <v>16732177</v>
      </c>
      <c r="C40">
        <v>2018</v>
      </c>
      <c r="D40" s="62">
        <v>43411</v>
      </c>
      <c r="E40">
        <v>18</v>
      </c>
      <c r="F40" t="s">
        <v>405</v>
      </c>
      <c r="G40" t="s">
        <v>319</v>
      </c>
      <c r="H40" t="s">
        <v>453</v>
      </c>
      <c r="I40" t="s">
        <v>411</v>
      </c>
      <c r="J40">
        <v>29.691314810000002</v>
      </c>
      <c r="K40">
        <v>-95.298783110000002</v>
      </c>
      <c r="L40" t="s">
        <v>420</v>
      </c>
      <c r="M40" t="s">
        <v>431</v>
      </c>
      <c r="N40" t="s">
        <v>429</v>
      </c>
      <c r="O40" t="s">
        <v>324</v>
      </c>
      <c r="P40" t="s">
        <v>283</v>
      </c>
      <c r="Q40" t="s">
        <v>331</v>
      </c>
      <c r="R40" t="s">
        <v>447</v>
      </c>
      <c r="S40">
        <v>0</v>
      </c>
      <c r="T40">
        <v>0</v>
      </c>
      <c r="U40">
        <v>0</v>
      </c>
      <c r="V40">
        <v>1</v>
      </c>
      <c r="W40">
        <v>1</v>
      </c>
      <c r="X40">
        <v>4</v>
      </c>
      <c r="Y40">
        <v>0</v>
      </c>
      <c r="Z40">
        <v>0</v>
      </c>
      <c r="AA40">
        <v>0</v>
      </c>
      <c r="AB40">
        <v>0</v>
      </c>
      <c r="AC40">
        <v>1</v>
      </c>
      <c r="AD40">
        <v>4</v>
      </c>
      <c r="AE40">
        <v>1</v>
      </c>
      <c r="AF40">
        <v>0</v>
      </c>
      <c r="AG40">
        <v>0</v>
      </c>
      <c r="AH40">
        <v>0</v>
      </c>
      <c r="AI40">
        <v>0</v>
      </c>
      <c r="AJ40">
        <v>0</v>
      </c>
      <c r="AK40">
        <v>0</v>
      </c>
      <c r="AL40">
        <v>0</v>
      </c>
      <c r="AM40">
        <v>0</v>
      </c>
      <c r="AN40">
        <v>0</v>
      </c>
      <c r="AO40">
        <v>0</v>
      </c>
      <c r="AP40">
        <v>0</v>
      </c>
      <c r="AQ40">
        <v>0</v>
      </c>
      <c r="AR40">
        <v>0</v>
      </c>
      <c r="AS40">
        <v>0</v>
      </c>
      <c r="AT40">
        <v>0</v>
      </c>
      <c r="AU40" t="s">
        <v>242</v>
      </c>
      <c r="AV40" t="s">
        <v>457</v>
      </c>
      <c r="AW40" t="s">
        <v>328</v>
      </c>
      <c r="AX40" t="s">
        <v>458</v>
      </c>
      <c r="AY40">
        <v>77087</v>
      </c>
      <c r="AZ40">
        <v>48201332900</v>
      </c>
      <c r="BA40" t="s">
        <v>329</v>
      </c>
      <c r="BB40" t="s">
        <v>330</v>
      </c>
      <c r="BC40">
        <v>54037</v>
      </c>
      <c r="BD40">
        <v>2892</v>
      </c>
      <c r="BE40" t="s">
        <v>407</v>
      </c>
      <c r="BF40" t="s">
        <v>407</v>
      </c>
      <c r="BG40" t="s">
        <v>407</v>
      </c>
    </row>
    <row r="41" spans="1:59" x14ac:dyDescent="0.3">
      <c r="A41">
        <v>131915</v>
      </c>
      <c r="B41">
        <v>16764425</v>
      </c>
      <c r="C41">
        <v>2018</v>
      </c>
      <c r="D41" s="62">
        <v>43417</v>
      </c>
      <c r="E41">
        <v>17</v>
      </c>
      <c r="F41" t="s">
        <v>318</v>
      </c>
      <c r="G41" t="s">
        <v>319</v>
      </c>
      <c r="H41" t="s">
        <v>453</v>
      </c>
      <c r="I41" t="s">
        <v>437</v>
      </c>
      <c r="J41">
        <v>29.676704820000001</v>
      </c>
      <c r="K41">
        <v>-95.290663109999997</v>
      </c>
      <c r="L41" t="s">
        <v>321</v>
      </c>
      <c r="M41" t="s">
        <v>322</v>
      </c>
      <c r="N41" t="s">
        <v>323</v>
      </c>
      <c r="O41" t="s">
        <v>324</v>
      </c>
      <c r="P41" t="s">
        <v>414</v>
      </c>
      <c r="Q41" t="s">
        <v>331</v>
      </c>
      <c r="R41" t="s">
        <v>468</v>
      </c>
      <c r="S41">
        <v>0</v>
      </c>
      <c r="T41">
        <v>0</v>
      </c>
      <c r="U41">
        <v>0</v>
      </c>
      <c r="V41">
        <v>0</v>
      </c>
      <c r="W41">
        <v>0</v>
      </c>
      <c r="X41">
        <v>2</v>
      </c>
      <c r="Y41">
        <v>1</v>
      </c>
      <c r="Z41">
        <v>0</v>
      </c>
      <c r="AA41">
        <v>0</v>
      </c>
      <c r="AB41">
        <v>0</v>
      </c>
      <c r="AC41">
        <v>0</v>
      </c>
      <c r="AD41">
        <v>2</v>
      </c>
      <c r="AE41">
        <v>0</v>
      </c>
      <c r="AF41">
        <v>1</v>
      </c>
      <c r="AG41">
        <v>0</v>
      </c>
      <c r="AH41">
        <v>0</v>
      </c>
      <c r="AI41">
        <v>0</v>
      </c>
      <c r="AJ41">
        <v>0</v>
      </c>
      <c r="AK41">
        <v>0</v>
      </c>
      <c r="AL41">
        <v>0</v>
      </c>
      <c r="AM41">
        <v>0</v>
      </c>
      <c r="AN41">
        <v>0</v>
      </c>
      <c r="AO41">
        <v>0</v>
      </c>
      <c r="AP41">
        <v>0</v>
      </c>
      <c r="AQ41">
        <v>0</v>
      </c>
      <c r="AR41">
        <v>0</v>
      </c>
      <c r="AS41">
        <v>0</v>
      </c>
      <c r="AT41">
        <v>0</v>
      </c>
      <c r="AU41" t="s">
        <v>242</v>
      </c>
      <c r="AV41" t="s">
        <v>327</v>
      </c>
      <c r="AW41" t="s">
        <v>328</v>
      </c>
      <c r="AX41" t="s">
        <v>458</v>
      </c>
      <c r="AY41">
        <v>77087</v>
      </c>
      <c r="AZ41">
        <v>48201332600</v>
      </c>
      <c r="BA41" t="s">
        <v>329</v>
      </c>
      <c r="BB41" t="s">
        <v>330</v>
      </c>
      <c r="BC41">
        <v>158757</v>
      </c>
      <c r="BD41">
        <v>2840</v>
      </c>
      <c r="BE41" t="s">
        <v>407</v>
      </c>
      <c r="BF41" t="s">
        <v>407</v>
      </c>
      <c r="BG41" t="s">
        <v>407</v>
      </c>
    </row>
    <row r="42" spans="1:59" x14ac:dyDescent="0.3">
      <c r="A42">
        <v>139906</v>
      </c>
      <c r="B42">
        <v>16796163</v>
      </c>
      <c r="C42">
        <v>2018</v>
      </c>
      <c r="D42" s="62">
        <v>43446</v>
      </c>
      <c r="E42">
        <v>12</v>
      </c>
      <c r="F42" t="s">
        <v>405</v>
      </c>
      <c r="G42" t="s">
        <v>319</v>
      </c>
      <c r="H42" t="s">
        <v>475</v>
      </c>
      <c r="I42" t="s">
        <v>419</v>
      </c>
      <c r="J42">
        <v>29.677424819999999</v>
      </c>
      <c r="K42">
        <v>-95.291193109999995</v>
      </c>
      <c r="L42" t="s">
        <v>321</v>
      </c>
      <c r="M42" t="s">
        <v>322</v>
      </c>
      <c r="N42" t="s">
        <v>323</v>
      </c>
      <c r="O42" t="s">
        <v>476</v>
      </c>
      <c r="P42" t="s">
        <v>414</v>
      </c>
      <c r="Q42" t="s">
        <v>332</v>
      </c>
      <c r="R42" t="s">
        <v>426</v>
      </c>
      <c r="S42">
        <v>0</v>
      </c>
      <c r="T42">
        <v>0</v>
      </c>
      <c r="U42">
        <v>0</v>
      </c>
      <c r="V42">
        <v>0</v>
      </c>
      <c r="W42">
        <v>0</v>
      </c>
      <c r="X42">
        <v>1</v>
      </c>
      <c r="Y42">
        <v>0</v>
      </c>
      <c r="Z42">
        <v>0</v>
      </c>
      <c r="AA42">
        <v>0</v>
      </c>
      <c r="AB42">
        <v>0</v>
      </c>
      <c r="AC42">
        <v>0</v>
      </c>
      <c r="AD42">
        <v>1</v>
      </c>
      <c r="AE42">
        <v>0</v>
      </c>
      <c r="AF42">
        <v>0</v>
      </c>
      <c r="AG42">
        <v>0</v>
      </c>
      <c r="AH42">
        <v>0</v>
      </c>
      <c r="AI42">
        <v>0</v>
      </c>
      <c r="AJ42">
        <v>0</v>
      </c>
      <c r="AK42">
        <v>0</v>
      </c>
      <c r="AL42">
        <v>0</v>
      </c>
      <c r="AM42">
        <v>0</v>
      </c>
      <c r="AN42">
        <v>0</v>
      </c>
      <c r="AO42">
        <v>0</v>
      </c>
      <c r="AP42">
        <v>0</v>
      </c>
      <c r="AQ42">
        <v>0</v>
      </c>
      <c r="AR42">
        <v>0</v>
      </c>
      <c r="AS42">
        <v>0</v>
      </c>
      <c r="AT42">
        <v>0</v>
      </c>
      <c r="AU42" t="s">
        <v>242</v>
      </c>
      <c r="AV42" t="s">
        <v>327</v>
      </c>
      <c r="AW42" t="s">
        <v>328</v>
      </c>
      <c r="AX42" t="s">
        <v>458</v>
      </c>
      <c r="AY42">
        <v>77087</v>
      </c>
      <c r="AZ42">
        <v>48201332600</v>
      </c>
      <c r="BA42" t="s">
        <v>329</v>
      </c>
      <c r="BB42" t="s">
        <v>330</v>
      </c>
      <c r="BC42">
        <v>158757</v>
      </c>
      <c r="BD42">
        <v>2840</v>
      </c>
      <c r="BE42" t="s">
        <v>407</v>
      </c>
      <c r="BF42" t="s">
        <v>407</v>
      </c>
      <c r="BG42" t="s">
        <v>407</v>
      </c>
    </row>
    <row r="43" spans="1:59" x14ac:dyDescent="0.3">
      <c r="A43">
        <v>141879</v>
      </c>
      <c r="B43">
        <v>16805611</v>
      </c>
      <c r="C43">
        <v>2018</v>
      </c>
      <c r="D43" s="62">
        <v>43449</v>
      </c>
      <c r="E43">
        <v>12</v>
      </c>
      <c r="F43" t="s">
        <v>436</v>
      </c>
      <c r="G43" t="s">
        <v>319</v>
      </c>
      <c r="H43" t="s">
        <v>453</v>
      </c>
      <c r="I43" t="s">
        <v>427</v>
      </c>
      <c r="J43">
        <v>29.68515481</v>
      </c>
      <c r="K43">
        <v>-95.296383109999994</v>
      </c>
      <c r="L43" t="s">
        <v>428</v>
      </c>
      <c r="M43" t="s">
        <v>428</v>
      </c>
      <c r="N43" t="s">
        <v>429</v>
      </c>
      <c r="O43" t="s">
        <v>324</v>
      </c>
      <c r="P43" t="s">
        <v>283</v>
      </c>
      <c r="Q43" t="s">
        <v>331</v>
      </c>
      <c r="R43" t="s">
        <v>416</v>
      </c>
      <c r="S43">
        <v>0</v>
      </c>
      <c r="T43">
        <v>0</v>
      </c>
      <c r="U43">
        <v>0</v>
      </c>
      <c r="V43">
        <v>1</v>
      </c>
      <c r="W43">
        <v>1</v>
      </c>
      <c r="X43">
        <v>1</v>
      </c>
      <c r="Y43">
        <v>1</v>
      </c>
      <c r="Z43">
        <v>0</v>
      </c>
      <c r="AA43">
        <v>0</v>
      </c>
      <c r="AB43">
        <v>0</v>
      </c>
      <c r="AC43">
        <v>1</v>
      </c>
      <c r="AD43">
        <v>1</v>
      </c>
      <c r="AE43">
        <v>1</v>
      </c>
      <c r="AF43">
        <v>1</v>
      </c>
      <c r="AG43">
        <v>0</v>
      </c>
      <c r="AH43">
        <v>0</v>
      </c>
      <c r="AI43">
        <v>0</v>
      </c>
      <c r="AJ43">
        <v>0</v>
      </c>
      <c r="AK43">
        <v>0</v>
      </c>
      <c r="AL43">
        <v>0</v>
      </c>
      <c r="AM43">
        <v>0</v>
      </c>
      <c r="AN43">
        <v>0</v>
      </c>
      <c r="AO43">
        <v>0</v>
      </c>
      <c r="AP43">
        <v>0</v>
      </c>
      <c r="AQ43">
        <v>0</v>
      </c>
      <c r="AR43">
        <v>0</v>
      </c>
      <c r="AS43">
        <v>0</v>
      </c>
      <c r="AT43">
        <v>0</v>
      </c>
      <c r="AU43" t="s">
        <v>242</v>
      </c>
      <c r="AV43" t="s">
        <v>457</v>
      </c>
      <c r="AW43" t="s">
        <v>328</v>
      </c>
      <c r="AX43" t="s">
        <v>458</v>
      </c>
      <c r="AY43">
        <v>77087</v>
      </c>
      <c r="AZ43">
        <v>48201332800</v>
      </c>
      <c r="BA43" t="s">
        <v>329</v>
      </c>
      <c r="BB43" t="s">
        <v>330</v>
      </c>
      <c r="BC43">
        <v>53817</v>
      </c>
      <c r="BD43">
        <v>2840</v>
      </c>
      <c r="BE43" t="s">
        <v>407</v>
      </c>
      <c r="BF43" t="s">
        <v>407</v>
      </c>
      <c r="BG43" t="s">
        <v>407</v>
      </c>
    </row>
    <row r="44" spans="1:59" x14ac:dyDescent="0.3">
      <c r="A44">
        <v>145129</v>
      </c>
      <c r="B44">
        <v>16822198</v>
      </c>
      <c r="C44">
        <v>2018</v>
      </c>
      <c r="D44" s="62">
        <v>43441</v>
      </c>
      <c r="E44">
        <v>17</v>
      </c>
      <c r="F44" t="s">
        <v>418</v>
      </c>
      <c r="G44" t="s">
        <v>319</v>
      </c>
      <c r="H44" t="s">
        <v>453</v>
      </c>
      <c r="I44" t="s">
        <v>320</v>
      </c>
      <c r="J44">
        <v>29.69377171</v>
      </c>
      <c r="K44">
        <v>-95.299473210000002</v>
      </c>
      <c r="L44" t="s">
        <v>430</v>
      </c>
      <c r="M44" t="s">
        <v>424</v>
      </c>
      <c r="N44" t="s">
        <v>323</v>
      </c>
      <c r="O44" t="s">
        <v>324</v>
      </c>
      <c r="P44" t="s">
        <v>414</v>
      </c>
      <c r="Q44" t="s">
        <v>325</v>
      </c>
      <c r="R44" t="s">
        <v>406</v>
      </c>
      <c r="S44">
        <v>0</v>
      </c>
      <c r="T44">
        <v>0</v>
      </c>
      <c r="U44">
        <v>0</v>
      </c>
      <c r="V44">
        <v>0</v>
      </c>
      <c r="W44">
        <v>0</v>
      </c>
      <c r="X44">
        <v>2</v>
      </c>
      <c r="Y44">
        <v>0</v>
      </c>
      <c r="Z44">
        <v>0</v>
      </c>
      <c r="AA44">
        <v>0</v>
      </c>
      <c r="AB44">
        <v>0</v>
      </c>
      <c r="AC44">
        <v>0</v>
      </c>
      <c r="AD44">
        <v>2</v>
      </c>
      <c r="AE44">
        <v>0</v>
      </c>
      <c r="AF44">
        <v>0</v>
      </c>
      <c r="AG44">
        <v>0</v>
      </c>
      <c r="AH44">
        <v>0</v>
      </c>
      <c r="AI44">
        <v>0</v>
      </c>
      <c r="AJ44">
        <v>0</v>
      </c>
      <c r="AK44">
        <v>0</v>
      </c>
      <c r="AL44">
        <v>0</v>
      </c>
      <c r="AM44">
        <v>0</v>
      </c>
      <c r="AN44">
        <v>0</v>
      </c>
      <c r="AO44">
        <v>0</v>
      </c>
      <c r="AP44">
        <v>0</v>
      </c>
      <c r="AQ44">
        <v>0</v>
      </c>
      <c r="AR44">
        <v>0</v>
      </c>
      <c r="AS44">
        <v>0</v>
      </c>
      <c r="AT44">
        <v>0</v>
      </c>
      <c r="AU44" t="s">
        <v>242</v>
      </c>
      <c r="AV44" t="s">
        <v>457</v>
      </c>
      <c r="AW44" t="s">
        <v>328</v>
      </c>
      <c r="AX44" t="s">
        <v>458</v>
      </c>
      <c r="AY44">
        <v>77087</v>
      </c>
      <c r="AZ44">
        <v>48201332800</v>
      </c>
      <c r="BA44" t="s">
        <v>329</v>
      </c>
      <c r="BB44" t="s">
        <v>330</v>
      </c>
      <c r="BC44">
        <v>54257</v>
      </c>
      <c r="BD44">
        <v>2892</v>
      </c>
      <c r="BE44" t="s">
        <v>407</v>
      </c>
      <c r="BF44" t="s">
        <v>407</v>
      </c>
      <c r="BG44" t="s">
        <v>407</v>
      </c>
    </row>
    <row r="45" spans="1:59" x14ac:dyDescent="0.3">
      <c r="A45">
        <v>149796</v>
      </c>
      <c r="B45">
        <v>16847134</v>
      </c>
      <c r="C45">
        <v>2019</v>
      </c>
      <c r="D45" s="62">
        <v>43478</v>
      </c>
      <c r="E45">
        <v>13</v>
      </c>
      <c r="F45" t="s">
        <v>408</v>
      </c>
      <c r="G45" t="s">
        <v>319</v>
      </c>
      <c r="H45" t="s">
        <v>453</v>
      </c>
      <c r="I45" t="s">
        <v>320</v>
      </c>
      <c r="J45">
        <v>29.69034778</v>
      </c>
      <c r="K45">
        <v>-95.298760029999997</v>
      </c>
      <c r="L45" t="s">
        <v>321</v>
      </c>
      <c r="M45" t="s">
        <v>322</v>
      </c>
      <c r="N45" t="s">
        <v>323</v>
      </c>
      <c r="O45" t="s">
        <v>324</v>
      </c>
      <c r="P45" t="s">
        <v>414</v>
      </c>
      <c r="Q45" t="s">
        <v>325</v>
      </c>
      <c r="R45" t="s">
        <v>412</v>
      </c>
      <c r="S45">
        <v>0</v>
      </c>
      <c r="T45">
        <v>0</v>
      </c>
      <c r="U45">
        <v>0</v>
      </c>
      <c r="V45">
        <v>0</v>
      </c>
      <c r="W45">
        <v>0</v>
      </c>
      <c r="X45">
        <v>4</v>
      </c>
      <c r="Y45">
        <v>0</v>
      </c>
      <c r="Z45">
        <v>0</v>
      </c>
      <c r="AA45">
        <v>0</v>
      </c>
      <c r="AB45">
        <v>0</v>
      </c>
      <c r="AC45">
        <v>0</v>
      </c>
      <c r="AD45">
        <v>4</v>
      </c>
      <c r="AE45">
        <v>0</v>
      </c>
      <c r="AF45">
        <v>0</v>
      </c>
      <c r="AG45">
        <v>0</v>
      </c>
      <c r="AH45">
        <v>0</v>
      </c>
      <c r="AI45">
        <v>0</v>
      </c>
      <c r="AJ45">
        <v>0</v>
      </c>
      <c r="AK45">
        <v>0</v>
      </c>
      <c r="AL45">
        <v>0</v>
      </c>
      <c r="AM45">
        <v>0</v>
      </c>
      <c r="AN45">
        <v>0</v>
      </c>
      <c r="AO45">
        <v>0</v>
      </c>
      <c r="AP45">
        <v>0</v>
      </c>
      <c r="AQ45">
        <v>0</v>
      </c>
      <c r="AR45">
        <v>0</v>
      </c>
      <c r="AS45">
        <v>0</v>
      </c>
      <c r="AT45">
        <v>0</v>
      </c>
      <c r="AU45" t="s">
        <v>242</v>
      </c>
      <c r="AV45" t="s">
        <v>457</v>
      </c>
      <c r="AW45" t="s">
        <v>328</v>
      </c>
      <c r="AX45" t="s">
        <v>458</v>
      </c>
      <c r="AY45">
        <v>77087</v>
      </c>
      <c r="AZ45">
        <v>48201332900</v>
      </c>
      <c r="BA45" t="s">
        <v>329</v>
      </c>
      <c r="BB45" t="s">
        <v>330</v>
      </c>
      <c r="BC45">
        <v>54037</v>
      </c>
      <c r="BD45">
        <v>2892</v>
      </c>
      <c r="BE45" t="s">
        <v>407</v>
      </c>
      <c r="BF45" t="s">
        <v>407</v>
      </c>
      <c r="BG45" t="s">
        <v>407</v>
      </c>
    </row>
    <row r="46" spans="1:59" x14ac:dyDescent="0.3">
      <c r="A46">
        <v>153571</v>
      </c>
      <c r="B46">
        <v>16863851</v>
      </c>
      <c r="C46">
        <v>2019</v>
      </c>
      <c r="D46" s="62">
        <v>43485</v>
      </c>
      <c r="E46">
        <v>10</v>
      </c>
      <c r="F46" t="s">
        <v>408</v>
      </c>
      <c r="G46" t="s">
        <v>319</v>
      </c>
      <c r="H46" t="s">
        <v>453</v>
      </c>
      <c r="I46" t="s">
        <v>411</v>
      </c>
      <c r="J46">
        <v>29.691314810000002</v>
      </c>
      <c r="K46">
        <v>-95.298783110000002</v>
      </c>
      <c r="L46" t="s">
        <v>321</v>
      </c>
      <c r="M46" t="s">
        <v>322</v>
      </c>
      <c r="N46" t="s">
        <v>323</v>
      </c>
      <c r="O46" t="s">
        <v>324</v>
      </c>
      <c r="P46" t="s">
        <v>283</v>
      </c>
      <c r="Q46" t="s">
        <v>278</v>
      </c>
      <c r="R46" t="s">
        <v>426</v>
      </c>
      <c r="S46">
        <v>0</v>
      </c>
      <c r="T46">
        <v>0</v>
      </c>
      <c r="U46">
        <v>0</v>
      </c>
      <c r="V46">
        <v>1</v>
      </c>
      <c r="W46">
        <v>1</v>
      </c>
      <c r="X46">
        <v>1</v>
      </c>
      <c r="Y46">
        <v>0</v>
      </c>
      <c r="Z46">
        <v>0</v>
      </c>
      <c r="AA46">
        <v>0</v>
      </c>
      <c r="AB46">
        <v>0</v>
      </c>
      <c r="AC46">
        <v>1</v>
      </c>
      <c r="AD46">
        <v>1</v>
      </c>
      <c r="AE46">
        <v>1</v>
      </c>
      <c r="AF46">
        <v>0</v>
      </c>
      <c r="AG46">
        <v>0</v>
      </c>
      <c r="AH46">
        <v>0</v>
      </c>
      <c r="AI46">
        <v>0</v>
      </c>
      <c r="AJ46">
        <v>0</v>
      </c>
      <c r="AK46">
        <v>0</v>
      </c>
      <c r="AL46">
        <v>0</v>
      </c>
      <c r="AM46">
        <v>0</v>
      </c>
      <c r="AN46">
        <v>0</v>
      </c>
      <c r="AO46">
        <v>0</v>
      </c>
      <c r="AP46">
        <v>0</v>
      </c>
      <c r="AQ46">
        <v>0</v>
      </c>
      <c r="AR46">
        <v>0</v>
      </c>
      <c r="AS46">
        <v>0</v>
      </c>
      <c r="AT46">
        <v>0</v>
      </c>
      <c r="AU46" t="s">
        <v>242</v>
      </c>
      <c r="AV46" t="s">
        <v>457</v>
      </c>
      <c r="AW46" t="s">
        <v>328</v>
      </c>
      <c r="AX46" t="s">
        <v>458</v>
      </c>
      <c r="AY46">
        <v>77087</v>
      </c>
      <c r="AZ46">
        <v>48201332900</v>
      </c>
      <c r="BA46" t="s">
        <v>329</v>
      </c>
      <c r="BB46" t="s">
        <v>330</v>
      </c>
      <c r="BC46">
        <v>54037</v>
      </c>
      <c r="BD46">
        <v>2892</v>
      </c>
      <c r="BE46" t="s">
        <v>407</v>
      </c>
      <c r="BF46" t="s">
        <v>407</v>
      </c>
      <c r="BG46" t="s">
        <v>407</v>
      </c>
    </row>
    <row r="47" spans="1:59" x14ac:dyDescent="0.3">
      <c r="A47">
        <v>154565</v>
      </c>
      <c r="B47">
        <v>16867465</v>
      </c>
      <c r="C47">
        <v>2019</v>
      </c>
      <c r="D47" s="62">
        <v>43492</v>
      </c>
      <c r="E47">
        <v>15</v>
      </c>
      <c r="F47" t="s">
        <v>408</v>
      </c>
      <c r="G47" t="s">
        <v>319</v>
      </c>
      <c r="H47" t="s">
        <v>467</v>
      </c>
      <c r="I47" t="s">
        <v>427</v>
      </c>
      <c r="J47">
        <v>29.691314810000002</v>
      </c>
      <c r="K47">
        <v>-95.298783110000002</v>
      </c>
      <c r="L47" t="s">
        <v>321</v>
      </c>
      <c r="M47" t="s">
        <v>322</v>
      </c>
      <c r="N47" t="s">
        <v>429</v>
      </c>
      <c r="O47" t="s">
        <v>456</v>
      </c>
      <c r="P47" t="s">
        <v>283</v>
      </c>
      <c r="Q47" t="s">
        <v>278</v>
      </c>
      <c r="R47" t="s">
        <v>477</v>
      </c>
      <c r="S47">
        <v>0</v>
      </c>
      <c r="T47">
        <v>0</v>
      </c>
      <c r="U47">
        <v>0</v>
      </c>
      <c r="V47">
        <v>1</v>
      </c>
      <c r="W47">
        <v>1</v>
      </c>
      <c r="X47">
        <v>1</v>
      </c>
      <c r="Y47">
        <v>0</v>
      </c>
      <c r="Z47">
        <v>0</v>
      </c>
      <c r="AA47">
        <v>0</v>
      </c>
      <c r="AB47">
        <v>0</v>
      </c>
      <c r="AC47">
        <v>0</v>
      </c>
      <c r="AD47">
        <v>1</v>
      </c>
      <c r="AE47">
        <v>0</v>
      </c>
      <c r="AF47">
        <v>0</v>
      </c>
      <c r="AG47">
        <v>0</v>
      </c>
      <c r="AH47">
        <v>0</v>
      </c>
      <c r="AI47">
        <v>0</v>
      </c>
      <c r="AJ47">
        <v>1</v>
      </c>
      <c r="AK47">
        <v>0</v>
      </c>
      <c r="AL47">
        <v>1</v>
      </c>
      <c r="AM47">
        <v>0</v>
      </c>
      <c r="AN47">
        <v>0</v>
      </c>
      <c r="AO47">
        <v>0</v>
      </c>
      <c r="AP47">
        <v>0</v>
      </c>
      <c r="AQ47">
        <v>0</v>
      </c>
      <c r="AR47">
        <v>0</v>
      </c>
      <c r="AS47">
        <v>0</v>
      </c>
      <c r="AT47">
        <v>0</v>
      </c>
      <c r="AU47" t="s">
        <v>242</v>
      </c>
      <c r="AV47" t="s">
        <v>457</v>
      </c>
      <c r="AW47" t="s">
        <v>328</v>
      </c>
      <c r="AX47" t="s">
        <v>458</v>
      </c>
      <c r="AY47">
        <v>77087</v>
      </c>
      <c r="AZ47">
        <v>48201332900</v>
      </c>
      <c r="BA47" t="s">
        <v>329</v>
      </c>
      <c r="BB47" t="s">
        <v>330</v>
      </c>
      <c r="BC47">
        <v>54037</v>
      </c>
      <c r="BD47">
        <v>2892</v>
      </c>
      <c r="BE47" t="s">
        <v>407</v>
      </c>
      <c r="BF47" t="s">
        <v>407</v>
      </c>
      <c r="BG47" t="s">
        <v>407</v>
      </c>
    </row>
    <row r="48" spans="1:59" x14ac:dyDescent="0.3">
      <c r="A48">
        <v>155233</v>
      </c>
      <c r="B48">
        <v>16871115</v>
      </c>
      <c r="C48">
        <v>2019</v>
      </c>
      <c r="D48" s="62">
        <v>43487</v>
      </c>
      <c r="E48">
        <v>8</v>
      </c>
      <c r="F48" t="s">
        <v>318</v>
      </c>
      <c r="G48" t="s">
        <v>319</v>
      </c>
      <c r="H48" t="s">
        <v>453</v>
      </c>
      <c r="I48" t="s">
        <v>411</v>
      </c>
      <c r="J48">
        <v>29.689663329999998</v>
      </c>
      <c r="K48">
        <v>-95.298744650000003</v>
      </c>
      <c r="L48" t="s">
        <v>420</v>
      </c>
      <c r="M48" t="s">
        <v>322</v>
      </c>
      <c r="N48" t="s">
        <v>323</v>
      </c>
      <c r="O48" t="s">
        <v>445</v>
      </c>
      <c r="P48" t="s">
        <v>283</v>
      </c>
      <c r="Q48" t="s">
        <v>332</v>
      </c>
      <c r="R48" t="s">
        <v>478</v>
      </c>
      <c r="S48">
        <v>0</v>
      </c>
      <c r="T48">
        <v>0</v>
      </c>
      <c r="U48">
        <v>0</v>
      </c>
      <c r="V48">
        <v>1</v>
      </c>
      <c r="W48">
        <v>1</v>
      </c>
      <c r="X48">
        <v>0</v>
      </c>
      <c r="Y48">
        <v>0</v>
      </c>
      <c r="Z48">
        <v>0</v>
      </c>
      <c r="AA48">
        <v>0</v>
      </c>
      <c r="AB48">
        <v>0</v>
      </c>
      <c r="AC48">
        <v>1</v>
      </c>
      <c r="AD48">
        <v>0</v>
      </c>
      <c r="AE48">
        <v>1</v>
      </c>
      <c r="AF48">
        <v>0</v>
      </c>
      <c r="AG48">
        <v>0</v>
      </c>
      <c r="AH48">
        <v>0</v>
      </c>
      <c r="AI48">
        <v>0</v>
      </c>
      <c r="AJ48">
        <v>0</v>
      </c>
      <c r="AK48">
        <v>0</v>
      </c>
      <c r="AL48">
        <v>0</v>
      </c>
      <c r="AM48">
        <v>0</v>
      </c>
      <c r="AN48">
        <v>0</v>
      </c>
      <c r="AO48">
        <v>0</v>
      </c>
      <c r="AP48">
        <v>0</v>
      </c>
      <c r="AQ48">
        <v>0</v>
      </c>
      <c r="AR48">
        <v>0</v>
      </c>
      <c r="AS48">
        <v>0</v>
      </c>
      <c r="AT48">
        <v>0</v>
      </c>
      <c r="AU48" t="s">
        <v>242</v>
      </c>
      <c r="AV48" t="s">
        <v>457</v>
      </c>
      <c r="AW48" t="s">
        <v>328</v>
      </c>
      <c r="AX48" t="s">
        <v>458</v>
      </c>
      <c r="AY48">
        <v>77087</v>
      </c>
      <c r="AZ48">
        <v>48201332900</v>
      </c>
      <c r="BA48" t="s">
        <v>329</v>
      </c>
      <c r="BB48" t="s">
        <v>330</v>
      </c>
      <c r="BC48">
        <v>54037</v>
      </c>
      <c r="BD48">
        <v>2892</v>
      </c>
      <c r="BE48" t="s">
        <v>407</v>
      </c>
      <c r="BF48" t="s">
        <v>407</v>
      </c>
      <c r="BG48" t="s">
        <v>407</v>
      </c>
    </row>
    <row r="49" spans="1:59" x14ac:dyDescent="0.3">
      <c r="A49">
        <v>167662</v>
      </c>
      <c r="B49">
        <v>16926831</v>
      </c>
      <c r="C49">
        <v>2019</v>
      </c>
      <c r="D49" s="62">
        <v>43525</v>
      </c>
      <c r="E49">
        <v>18</v>
      </c>
      <c r="F49" t="s">
        <v>418</v>
      </c>
      <c r="G49" t="s">
        <v>319</v>
      </c>
      <c r="H49" t="s">
        <v>453</v>
      </c>
      <c r="I49" t="s">
        <v>437</v>
      </c>
      <c r="J49">
        <v>29.686998710000001</v>
      </c>
      <c r="K49">
        <v>-95.297508570000005</v>
      </c>
      <c r="L49" t="s">
        <v>321</v>
      </c>
      <c r="M49" t="s">
        <v>431</v>
      </c>
      <c r="N49" t="s">
        <v>422</v>
      </c>
      <c r="O49" t="s">
        <v>462</v>
      </c>
      <c r="P49" t="s">
        <v>414</v>
      </c>
      <c r="Q49" t="s">
        <v>278</v>
      </c>
      <c r="R49" t="s">
        <v>426</v>
      </c>
      <c r="S49">
        <v>0</v>
      </c>
      <c r="T49">
        <v>0</v>
      </c>
      <c r="U49">
        <v>0</v>
      </c>
      <c r="V49">
        <v>0</v>
      </c>
      <c r="W49">
        <v>0</v>
      </c>
      <c r="X49">
        <v>1</v>
      </c>
      <c r="Y49">
        <v>0</v>
      </c>
      <c r="Z49">
        <v>0</v>
      </c>
      <c r="AA49">
        <v>0</v>
      </c>
      <c r="AB49">
        <v>0</v>
      </c>
      <c r="AC49">
        <v>0</v>
      </c>
      <c r="AD49">
        <v>1</v>
      </c>
      <c r="AE49">
        <v>0</v>
      </c>
      <c r="AF49">
        <v>0</v>
      </c>
      <c r="AG49">
        <v>0</v>
      </c>
      <c r="AH49">
        <v>0</v>
      </c>
      <c r="AI49">
        <v>0</v>
      </c>
      <c r="AJ49">
        <v>0</v>
      </c>
      <c r="AK49">
        <v>0</v>
      </c>
      <c r="AL49">
        <v>0</v>
      </c>
      <c r="AM49">
        <v>0</v>
      </c>
      <c r="AN49">
        <v>0</v>
      </c>
      <c r="AO49">
        <v>0</v>
      </c>
      <c r="AP49">
        <v>0</v>
      </c>
      <c r="AQ49">
        <v>0</v>
      </c>
      <c r="AR49">
        <v>0</v>
      </c>
      <c r="AS49">
        <v>0</v>
      </c>
      <c r="AT49">
        <v>0</v>
      </c>
      <c r="AU49" t="s">
        <v>242</v>
      </c>
      <c r="AV49" t="s">
        <v>457</v>
      </c>
      <c r="AW49" t="s">
        <v>328</v>
      </c>
      <c r="AX49" t="s">
        <v>458</v>
      </c>
      <c r="AY49">
        <v>77087</v>
      </c>
      <c r="AZ49">
        <v>48201332800</v>
      </c>
      <c r="BA49" t="s">
        <v>329</v>
      </c>
      <c r="BB49" t="s">
        <v>330</v>
      </c>
      <c r="BC49">
        <v>53817</v>
      </c>
      <c r="BD49">
        <v>2892</v>
      </c>
      <c r="BE49" t="s">
        <v>407</v>
      </c>
      <c r="BF49" t="s">
        <v>407</v>
      </c>
      <c r="BG49" t="s">
        <v>407</v>
      </c>
    </row>
    <row r="50" spans="1:59" x14ac:dyDescent="0.3">
      <c r="A50">
        <v>175214</v>
      </c>
      <c r="B50">
        <v>16961113</v>
      </c>
      <c r="C50">
        <v>2019</v>
      </c>
      <c r="D50" s="62">
        <v>43524</v>
      </c>
      <c r="E50">
        <v>17</v>
      </c>
      <c r="F50" t="s">
        <v>425</v>
      </c>
      <c r="G50" t="s">
        <v>319</v>
      </c>
      <c r="H50" t="s">
        <v>453</v>
      </c>
      <c r="I50" t="s">
        <v>427</v>
      </c>
      <c r="J50">
        <v>29.676935749999998</v>
      </c>
      <c r="K50">
        <v>-95.290833109999994</v>
      </c>
      <c r="L50" t="s">
        <v>430</v>
      </c>
      <c r="M50" t="s">
        <v>322</v>
      </c>
      <c r="N50" t="s">
        <v>323</v>
      </c>
      <c r="O50" t="s">
        <v>324</v>
      </c>
      <c r="P50" t="s">
        <v>283</v>
      </c>
      <c r="Q50" t="s">
        <v>332</v>
      </c>
      <c r="R50" t="s">
        <v>406</v>
      </c>
      <c r="S50">
        <v>0</v>
      </c>
      <c r="T50">
        <v>0</v>
      </c>
      <c r="U50">
        <v>0</v>
      </c>
      <c r="V50">
        <v>1</v>
      </c>
      <c r="W50">
        <v>1</v>
      </c>
      <c r="X50">
        <v>4</v>
      </c>
      <c r="Y50">
        <v>0</v>
      </c>
      <c r="Z50">
        <v>0</v>
      </c>
      <c r="AA50">
        <v>0</v>
      </c>
      <c r="AB50">
        <v>0</v>
      </c>
      <c r="AC50">
        <v>1</v>
      </c>
      <c r="AD50">
        <v>4</v>
      </c>
      <c r="AE50">
        <v>1</v>
      </c>
      <c r="AF50">
        <v>0</v>
      </c>
      <c r="AG50">
        <v>0</v>
      </c>
      <c r="AH50">
        <v>0</v>
      </c>
      <c r="AI50">
        <v>0</v>
      </c>
      <c r="AJ50">
        <v>0</v>
      </c>
      <c r="AK50">
        <v>0</v>
      </c>
      <c r="AL50">
        <v>0</v>
      </c>
      <c r="AM50">
        <v>0</v>
      </c>
      <c r="AN50">
        <v>0</v>
      </c>
      <c r="AO50">
        <v>0</v>
      </c>
      <c r="AP50">
        <v>0</v>
      </c>
      <c r="AQ50">
        <v>0</v>
      </c>
      <c r="AR50">
        <v>0</v>
      </c>
      <c r="AS50">
        <v>0</v>
      </c>
      <c r="AT50">
        <v>0</v>
      </c>
      <c r="AU50" t="s">
        <v>242</v>
      </c>
      <c r="AV50" t="s">
        <v>327</v>
      </c>
      <c r="AW50" t="s">
        <v>328</v>
      </c>
      <c r="AX50" t="s">
        <v>458</v>
      </c>
      <c r="AY50">
        <v>77087</v>
      </c>
      <c r="AZ50">
        <v>48201332600</v>
      </c>
      <c r="BA50" t="s">
        <v>329</v>
      </c>
      <c r="BB50" t="s">
        <v>330</v>
      </c>
      <c r="BC50">
        <v>158757</v>
      </c>
      <c r="BD50">
        <v>2840</v>
      </c>
      <c r="BE50" t="s">
        <v>407</v>
      </c>
      <c r="BF50" t="s">
        <v>407</v>
      </c>
      <c r="BG50" t="s">
        <v>407</v>
      </c>
    </row>
    <row r="51" spans="1:59" x14ac:dyDescent="0.3">
      <c r="A51">
        <v>179067</v>
      </c>
      <c r="B51">
        <v>16978047</v>
      </c>
      <c r="C51">
        <v>2019</v>
      </c>
      <c r="D51" s="62">
        <v>43531</v>
      </c>
      <c r="E51">
        <v>6</v>
      </c>
      <c r="F51" t="s">
        <v>425</v>
      </c>
      <c r="G51" t="s">
        <v>319</v>
      </c>
      <c r="H51" t="s">
        <v>453</v>
      </c>
      <c r="I51" t="s">
        <v>437</v>
      </c>
      <c r="J51">
        <v>29.695344810000002</v>
      </c>
      <c r="K51">
        <v>-95.300293109999998</v>
      </c>
      <c r="L51" t="s">
        <v>420</v>
      </c>
      <c r="M51" t="s">
        <v>431</v>
      </c>
      <c r="N51" t="s">
        <v>429</v>
      </c>
      <c r="O51" t="s">
        <v>324</v>
      </c>
      <c r="P51" t="s">
        <v>414</v>
      </c>
      <c r="Q51" t="s">
        <v>331</v>
      </c>
      <c r="R51" t="s">
        <v>406</v>
      </c>
      <c r="S51">
        <v>0</v>
      </c>
      <c r="T51">
        <v>0</v>
      </c>
      <c r="U51">
        <v>0</v>
      </c>
      <c r="V51">
        <v>0</v>
      </c>
      <c r="W51">
        <v>0</v>
      </c>
      <c r="X51">
        <v>1</v>
      </c>
      <c r="Y51">
        <v>1</v>
      </c>
      <c r="Z51">
        <v>0</v>
      </c>
      <c r="AA51">
        <v>0</v>
      </c>
      <c r="AB51">
        <v>0</v>
      </c>
      <c r="AC51">
        <v>0</v>
      </c>
      <c r="AD51">
        <v>1</v>
      </c>
      <c r="AE51">
        <v>0</v>
      </c>
      <c r="AF51">
        <v>1</v>
      </c>
      <c r="AG51">
        <v>0</v>
      </c>
      <c r="AH51">
        <v>0</v>
      </c>
      <c r="AI51">
        <v>0</v>
      </c>
      <c r="AJ51">
        <v>0</v>
      </c>
      <c r="AK51">
        <v>0</v>
      </c>
      <c r="AL51">
        <v>0</v>
      </c>
      <c r="AM51">
        <v>0</v>
      </c>
      <c r="AN51">
        <v>0</v>
      </c>
      <c r="AO51">
        <v>0</v>
      </c>
      <c r="AP51">
        <v>0</v>
      </c>
      <c r="AQ51">
        <v>0</v>
      </c>
      <c r="AR51">
        <v>0</v>
      </c>
      <c r="AS51">
        <v>0</v>
      </c>
      <c r="AT51">
        <v>0</v>
      </c>
      <c r="AU51" t="s">
        <v>242</v>
      </c>
      <c r="AV51" t="s">
        <v>457</v>
      </c>
      <c r="AW51" t="s">
        <v>328</v>
      </c>
      <c r="AX51" t="s">
        <v>458</v>
      </c>
      <c r="AY51">
        <v>77087</v>
      </c>
      <c r="AZ51">
        <v>48201332800</v>
      </c>
      <c r="BA51" t="s">
        <v>329</v>
      </c>
      <c r="BB51" t="s">
        <v>330</v>
      </c>
      <c r="BC51">
        <v>54257</v>
      </c>
      <c r="BD51">
        <v>2892</v>
      </c>
      <c r="BE51" t="s">
        <v>407</v>
      </c>
      <c r="BF51" t="s">
        <v>407</v>
      </c>
      <c r="BG51" t="s">
        <v>407</v>
      </c>
    </row>
    <row r="52" spans="1:59" x14ac:dyDescent="0.3">
      <c r="A52">
        <v>179198</v>
      </c>
      <c r="B52">
        <v>16978544</v>
      </c>
      <c r="C52">
        <v>2019</v>
      </c>
      <c r="D52" s="62">
        <v>43551</v>
      </c>
      <c r="E52">
        <v>12</v>
      </c>
      <c r="F52" t="s">
        <v>405</v>
      </c>
      <c r="G52" t="s">
        <v>319</v>
      </c>
      <c r="H52" t="s">
        <v>453</v>
      </c>
      <c r="I52" t="s">
        <v>427</v>
      </c>
      <c r="J52">
        <v>29.689594809999999</v>
      </c>
      <c r="K52">
        <v>-95.298743110000004</v>
      </c>
      <c r="L52" t="s">
        <v>321</v>
      </c>
      <c r="M52" t="s">
        <v>322</v>
      </c>
      <c r="N52" t="s">
        <v>323</v>
      </c>
      <c r="O52" t="s">
        <v>324</v>
      </c>
      <c r="P52" t="s">
        <v>410</v>
      </c>
      <c r="Q52" t="s">
        <v>332</v>
      </c>
      <c r="R52" t="s">
        <v>426</v>
      </c>
      <c r="S52">
        <v>0</v>
      </c>
      <c r="T52">
        <v>0</v>
      </c>
      <c r="U52">
        <v>1</v>
      </c>
      <c r="V52">
        <v>0</v>
      </c>
      <c r="W52">
        <v>1</v>
      </c>
      <c r="X52">
        <v>0</v>
      </c>
      <c r="Y52">
        <v>1</v>
      </c>
      <c r="Z52">
        <v>0</v>
      </c>
      <c r="AA52">
        <v>0</v>
      </c>
      <c r="AB52">
        <v>1</v>
      </c>
      <c r="AC52">
        <v>0</v>
      </c>
      <c r="AD52">
        <v>0</v>
      </c>
      <c r="AE52">
        <v>1</v>
      </c>
      <c r="AF52">
        <v>1</v>
      </c>
      <c r="AG52">
        <v>0</v>
      </c>
      <c r="AH52">
        <v>0</v>
      </c>
      <c r="AI52">
        <v>0</v>
      </c>
      <c r="AJ52">
        <v>0</v>
      </c>
      <c r="AK52">
        <v>0</v>
      </c>
      <c r="AL52">
        <v>0</v>
      </c>
      <c r="AM52">
        <v>0</v>
      </c>
      <c r="AN52">
        <v>0</v>
      </c>
      <c r="AO52">
        <v>0</v>
      </c>
      <c r="AP52">
        <v>0</v>
      </c>
      <c r="AQ52">
        <v>0</v>
      </c>
      <c r="AR52">
        <v>0</v>
      </c>
      <c r="AS52">
        <v>0</v>
      </c>
      <c r="AT52">
        <v>0</v>
      </c>
      <c r="AU52" t="s">
        <v>242</v>
      </c>
      <c r="AV52" t="s">
        <v>457</v>
      </c>
      <c r="AW52" t="s">
        <v>328</v>
      </c>
      <c r="AX52" t="s">
        <v>458</v>
      </c>
      <c r="AY52">
        <v>77087</v>
      </c>
      <c r="AZ52">
        <v>48201332900</v>
      </c>
      <c r="BA52" t="s">
        <v>329</v>
      </c>
      <c r="BB52" t="s">
        <v>330</v>
      </c>
      <c r="BC52">
        <v>54037</v>
      </c>
      <c r="BD52">
        <v>2892</v>
      </c>
      <c r="BE52" t="s">
        <v>407</v>
      </c>
      <c r="BF52" t="s">
        <v>407</v>
      </c>
      <c r="BG52" t="s">
        <v>407</v>
      </c>
    </row>
    <row r="53" spans="1:59" x14ac:dyDescent="0.3">
      <c r="A53">
        <v>184791</v>
      </c>
      <c r="B53">
        <v>17009544</v>
      </c>
      <c r="C53">
        <v>2019</v>
      </c>
      <c r="D53" s="62">
        <v>43566</v>
      </c>
      <c r="E53">
        <v>7</v>
      </c>
      <c r="F53" t="s">
        <v>425</v>
      </c>
      <c r="G53" t="s">
        <v>319</v>
      </c>
      <c r="H53" t="s">
        <v>479</v>
      </c>
      <c r="I53" t="s">
        <v>419</v>
      </c>
      <c r="J53">
        <v>29.680414819999999</v>
      </c>
      <c r="K53">
        <v>-95.293353109999998</v>
      </c>
      <c r="L53" t="s">
        <v>321</v>
      </c>
      <c r="M53" t="s">
        <v>322</v>
      </c>
      <c r="N53" t="s">
        <v>422</v>
      </c>
      <c r="O53" t="s">
        <v>324</v>
      </c>
      <c r="P53" t="s">
        <v>414</v>
      </c>
      <c r="Q53" t="s">
        <v>331</v>
      </c>
      <c r="R53" t="s">
        <v>480</v>
      </c>
      <c r="S53">
        <v>0</v>
      </c>
      <c r="T53">
        <v>0</v>
      </c>
      <c r="U53">
        <v>0</v>
      </c>
      <c r="V53">
        <v>0</v>
      </c>
      <c r="W53">
        <v>0</v>
      </c>
      <c r="X53">
        <v>2</v>
      </c>
      <c r="Y53">
        <v>0</v>
      </c>
      <c r="Z53">
        <v>0</v>
      </c>
      <c r="AA53">
        <v>0</v>
      </c>
      <c r="AB53">
        <v>0</v>
      </c>
      <c r="AC53">
        <v>0</v>
      </c>
      <c r="AD53">
        <v>2</v>
      </c>
      <c r="AE53">
        <v>0</v>
      </c>
      <c r="AF53">
        <v>0</v>
      </c>
      <c r="AG53">
        <v>0</v>
      </c>
      <c r="AH53">
        <v>0</v>
      </c>
      <c r="AI53">
        <v>0</v>
      </c>
      <c r="AJ53">
        <v>0</v>
      </c>
      <c r="AK53">
        <v>0</v>
      </c>
      <c r="AL53">
        <v>0</v>
      </c>
      <c r="AM53">
        <v>0</v>
      </c>
      <c r="AN53">
        <v>0</v>
      </c>
      <c r="AO53">
        <v>0</v>
      </c>
      <c r="AP53">
        <v>0</v>
      </c>
      <c r="AQ53">
        <v>0</v>
      </c>
      <c r="AR53">
        <v>0</v>
      </c>
      <c r="AS53">
        <v>0</v>
      </c>
      <c r="AT53">
        <v>0</v>
      </c>
      <c r="AU53" t="s">
        <v>242</v>
      </c>
      <c r="AV53" t="s">
        <v>327</v>
      </c>
      <c r="AW53" t="s">
        <v>328</v>
      </c>
      <c r="AX53" t="s">
        <v>458</v>
      </c>
      <c r="AY53">
        <v>77087</v>
      </c>
      <c r="AZ53">
        <v>48201332600</v>
      </c>
      <c r="BA53" t="s">
        <v>329</v>
      </c>
      <c r="BB53" t="s">
        <v>330</v>
      </c>
      <c r="BC53">
        <v>158977</v>
      </c>
      <c r="BD53">
        <v>2840</v>
      </c>
      <c r="BE53" t="s">
        <v>407</v>
      </c>
      <c r="BF53" t="s">
        <v>407</v>
      </c>
      <c r="BG53" t="s">
        <v>407</v>
      </c>
    </row>
    <row r="54" spans="1:59" x14ac:dyDescent="0.3">
      <c r="A54">
        <v>185428</v>
      </c>
      <c r="B54">
        <v>17012734</v>
      </c>
      <c r="C54">
        <v>2019</v>
      </c>
      <c r="D54" s="62">
        <v>43568</v>
      </c>
      <c r="E54">
        <v>16</v>
      </c>
      <c r="F54" t="s">
        <v>436</v>
      </c>
      <c r="G54" t="s">
        <v>319</v>
      </c>
      <c r="H54" t="s">
        <v>453</v>
      </c>
      <c r="I54" t="s">
        <v>427</v>
      </c>
      <c r="J54">
        <v>29.693527660000001</v>
      </c>
      <c r="K54">
        <v>-95.299368610000002</v>
      </c>
      <c r="L54" t="s">
        <v>420</v>
      </c>
      <c r="M54" t="s">
        <v>322</v>
      </c>
      <c r="N54" t="s">
        <v>429</v>
      </c>
      <c r="O54" t="s">
        <v>324</v>
      </c>
      <c r="P54" t="s">
        <v>414</v>
      </c>
      <c r="Q54" t="s">
        <v>278</v>
      </c>
      <c r="R54" t="s">
        <v>426</v>
      </c>
      <c r="S54">
        <v>0</v>
      </c>
      <c r="T54">
        <v>0</v>
      </c>
      <c r="U54">
        <v>0</v>
      </c>
      <c r="V54">
        <v>0</v>
      </c>
      <c r="W54">
        <v>0</v>
      </c>
      <c r="X54">
        <v>1</v>
      </c>
      <c r="Y54">
        <v>1</v>
      </c>
      <c r="Z54">
        <v>0</v>
      </c>
      <c r="AA54">
        <v>0</v>
      </c>
      <c r="AB54">
        <v>0</v>
      </c>
      <c r="AC54">
        <v>0</v>
      </c>
      <c r="AD54">
        <v>1</v>
      </c>
      <c r="AE54">
        <v>0</v>
      </c>
      <c r="AF54">
        <v>1</v>
      </c>
      <c r="AG54">
        <v>0</v>
      </c>
      <c r="AH54">
        <v>0</v>
      </c>
      <c r="AI54">
        <v>0</v>
      </c>
      <c r="AJ54">
        <v>0</v>
      </c>
      <c r="AK54">
        <v>0</v>
      </c>
      <c r="AL54">
        <v>0</v>
      </c>
      <c r="AM54">
        <v>0</v>
      </c>
      <c r="AN54">
        <v>0</v>
      </c>
      <c r="AO54">
        <v>0</v>
      </c>
      <c r="AP54">
        <v>0</v>
      </c>
      <c r="AQ54">
        <v>0</v>
      </c>
      <c r="AR54">
        <v>0</v>
      </c>
      <c r="AS54">
        <v>0</v>
      </c>
      <c r="AT54">
        <v>0</v>
      </c>
      <c r="AU54" t="s">
        <v>242</v>
      </c>
      <c r="AV54" t="s">
        <v>457</v>
      </c>
      <c r="AW54" t="s">
        <v>328</v>
      </c>
      <c r="AX54" t="s">
        <v>458</v>
      </c>
      <c r="AY54">
        <v>77087</v>
      </c>
      <c r="AZ54">
        <v>48201332800</v>
      </c>
      <c r="BA54" t="s">
        <v>329</v>
      </c>
      <c r="BB54" t="s">
        <v>330</v>
      </c>
      <c r="BC54">
        <v>54257</v>
      </c>
      <c r="BD54">
        <v>2892</v>
      </c>
      <c r="BE54" t="s">
        <v>407</v>
      </c>
      <c r="BF54" t="s">
        <v>407</v>
      </c>
      <c r="BG54" t="s">
        <v>407</v>
      </c>
    </row>
    <row r="55" spans="1:59" x14ac:dyDescent="0.3">
      <c r="A55">
        <v>189408</v>
      </c>
      <c r="B55">
        <v>17030405</v>
      </c>
      <c r="C55">
        <v>2019</v>
      </c>
      <c r="D55" s="62">
        <v>43567</v>
      </c>
      <c r="E55">
        <v>20</v>
      </c>
      <c r="F55" t="s">
        <v>418</v>
      </c>
      <c r="G55" t="s">
        <v>319</v>
      </c>
      <c r="H55" t="s">
        <v>453</v>
      </c>
      <c r="I55" t="s">
        <v>427</v>
      </c>
      <c r="J55">
        <v>29.691314810000002</v>
      </c>
      <c r="K55">
        <v>-95.298783110000002</v>
      </c>
      <c r="L55" t="s">
        <v>430</v>
      </c>
      <c r="M55" t="s">
        <v>465</v>
      </c>
      <c r="N55" t="s">
        <v>323</v>
      </c>
      <c r="O55" t="s">
        <v>324</v>
      </c>
      <c r="P55" t="s">
        <v>283</v>
      </c>
      <c r="Q55" t="s">
        <v>278</v>
      </c>
      <c r="R55" t="s">
        <v>481</v>
      </c>
      <c r="S55">
        <v>0</v>
      </c>
      <c r="T55">
        <v>0</v>
      </c>
      <c r="U55">
        <v>0</v>
      </c>
      <c r="V55">
        <v>2</v>
      </c>
      <c r="W55">
        <v>2</v>
      </c>
      <c r="X55">
        <v>6</v>
      </c>
      <c r="Y55">
        <v>0</v>
      </c>
      <c r="Z55">
        <v>0</v>
      </c>
      <c r="AA55">
        <v>0</v>
      </c>
      <c r="AB55">
        <v>0</v>
      </c>
      <c r="AC55">
        <v>2</v>
      </c>
      <c r="AD55">
        <v>6</v>
      </c>
      <c r="AE55">
        <v>2</v>
      </c>
      <c r="AF55">
        <v>0</v>
      </c>
      <c r="AG55">
        <v>0</v>
      </c>
      <c r="AH55">
        <v>0</v>
      </c>
      <c r="AI55">
        <v>0</v>
      </c>
      <c r="AJ55">
        <v>0</v>
      </c>
      <c r="AK55">
        <v>0</v>
      </c>
      <c r="AL55">
        <v>0</v>
      </c>
      <c r="AM55">
        <v>0</v>
      </c>
      <c r="AN55">
        <v>0</v>
      </c>
      <c r="AO55">
        <v>0</v>
      </c>
      <c r="AP55">
        <v>0</v>
      </c>
      <c r="AQ55">
        <v>0</v>
      </c>
      <c r="AR55">
        <v>0</v>
      </c>
      <c r="AS55">
        <v>0</v>
      </c>
      <c r="AT55">
        <v>0</v>
      </c>
      <c r="AU55" t="s">
        <v>242</v>
      </c>
      <c r="AV55" t="s">
        <v>457</v>
      </c>
      <c r="AW55" t="s">
        <v>328</v>
      </c>
      <c r="AX55" t="s">
        <v>458</v>
      </c>
      <c r="AY55">
        <v>77087</v>
      </c>
      <c r="AZ55">
        <v>48201332900</v>
      </c>
      <c r="BA55" t="s">
        <v>329</v>
      </c>
      <c r="BB55" t="s">
        <v>330</v>
      </c>
      <c r="BC55">
        <v>54037</v>
      </c>
      <c r="BD55">
        <v>2892</v>
      </c>
      <c r="BE55" t="s">
        <v>407</v>
      </c>
      <c r="BF55" t="s">
        <v>407</v>
      </c>
      <c r="BG55" t="s">
        <v>407</v>
      </c>
    </row>
    <row r="56" spans="1:59" x14ac:dyDescent="0.3">
      <c r="A56">
        <v>191178</v>
      </c>
      <c r="B56">
        <v>17038388</v>
      </c>
      <c r="C56">
        <v>2019</v>
      </c>
      <c r="D56" s="62">
        <v>43578</v>
      </c>
      <c r="E56">
        <v>16</v>
      </c>
      <c r="F56" t="s">
        <v>318</v>
      </c>
      <c r="G56" t="s">
        <v>319</v>
      </c>
      <c r="H56" t="s">
        <v>482</v>
      </c>
      <c r="I56" t="s">
        <v>413</v>
      </c>
      <c r="J56">
        <v>29.681486459999999</v>
      </c>
      <c r="K56">
        <v>-95.293882199999999</v>
      </c>
      <c r="L56" t="s">
        <v>420</v>
      </c>
      <c r="M56" t="s">
        <v>322</v>
      </c>
      <c r="N56" t="s">
        <v>323</v>
      </c>
      <c r="O56" t="s">
        <v>324</v>
      </c>
      <c r="P56" t="s">
        <v>414</v>
      </c>
      <c r="Q56" t="s">
        <v>332</v>
      </c>
      <c r="R56" t="s">
        <v>416</v>
      </c>
      <c r="S56">
        <v>0</v>
      </c>
      <c r="T56">
        <v>0</v>
      </c>
      <c r="U56">
        <v>0</v>
      </c>
      <c r="V56">
        <v>0</v>
      </c>
      <c r="W56">
        <v>0</v>
      </c>
      <c r="X56">
        <v>3</v>
      </c>
      <c r="Y56">
        <v>0</v>
      </c>
      <c r="Z56">
        <v>0</v>
      </c>
      <c r="AA56">
        <v>0</v>
      </c>
      <c r="AB56">
        <v>0</v>
      </c>
      <c r="AC56">
        <v>0</v>
      </c>
      <c r="AD56">
        <v>3</v>
      </c>
      <c r="AE56">
        <v>0</v>
      </c>
      <c r="AF56">
        <v>0</v>
      </c>
      <c r="AG56">
        <v>0</v>
      </c>
      <c r="AH56">
        <v>0</v>
      </c>
      <c r="AI56">
        <v>0</v>
      </c>
      <c r="AJ56">
        <v>0</v>
      </c>
      <c r="AK56">
        <v>0</v>
      </c>
      <c r="AL56">
        <v>0</v>
      </c>
      <c r="AM56">
        <v>0</v>
      </c>
      <c r="AN56">
        <v>0</v>
      </c>
      <c r="AO56">
        <v>0</v>
      </c>
      <c r="AP56">
        <v>0</v>
      </c>
      <c r="AQ56">
        <v>0</v>
      </c>
      <c r="AR56">
        <v>0</v>
      </c>
      <c r="AS56">
        <v>0</v>
      </c>
      <c r="AT56">
        <v>0</v>
      </c>
      <c r="AU56" t="s">
        <v>242</v>
      </c>
      <c r="AV56" t="s">
        <v>457</v>
      </c>
      <c r="AW56" t="s">
        <v>328</v>
      </c>
      <c r="AX56" t="s">
        <v>458</v>
      </c>
      <c r="AY56">
        <v>77087</v>
      </c>
      <c r="AZ56">
        <v>48201333000</v>
      </c>
      <c r="BA56" t="s">
        <v>329</v>
      </c>
      <c r="BB56" t="s">
        <v>330</v>
      </c>
      <c r="BC56">
        <v>158977</v>
      </c>
      <c r="BD56">
        <v>2840</v>
      </c>
      <c r="BE56" t="s">
        <v>407</v>
      </c>
      <c r="BF56" t="s">
        <v>407</v>
      </c>
      <c r="BG56" t="s">
        <v>407</v>
      </c>
    </row>
    <row r="57" spans="1:59" x14ac:dyDescent="0.3">
      <c r="A57">
        <v>192377</v>
      </c>
      <c r="B57">
        <v>17044537</v>
      </c>
      <c r="C57">
        <v>2019</v>
      </c>
      <c r="D57" s="62">
        <v>43585</v>
      </c>
      <c r="E57">
        <v>6</v>
      </c>
      <c r="F57" t="s">
        <v>318</v>
      </c>
      <c r="G57" t="s">
        <v>319</v>
      </c>
      <c r="H57" t="s">
        <v>482</v>
      </c>
      <c r="I57" t="s">
        <v>427</v>
      </c>
      <c r="J57">
        <v>29.681425770000001</v>
      </c>
      <c r="K57">
        <v>-95.294086210000003</v>
      </c>
      <c r="L57" t="s">
        <v>321</v>
      </c>
      <c r="M57" t="s">
        <v>322</v>
      </c>
      <c r="N57" t="s">
        <v>422</v>
      </c>
      <c r="O57" t="s">
        <v>324</v>
      </c>
      <c r="P57" t="s">
        <v>414</v>
      </c>
      <c r="Q57" t="s">
        <v>278</v>
      </c>
      <c r="R57" t="s">
        <v>426</v>
      </c>
      <c r="S57">
        <v>0</v>
      </c>
      <c r="T57">
        <v>0</v>
      </c>
      <c r="U57">
        <v>0</v>
      </c>
      <c r="V57">
        <v>0</v>
      </c>
      <c r="W57">
        <v>0</v>
      </c>
      <c r="X57">
        <v>2</v>
      </c>
      <c r="Y57">
        <v>0</v>
      </c>
      <c r="Z57">
        <v>0</v>
      </c>
      <c r="AA57">
        <v>0</v>
      </c>
      <c r="AB57">
        <v>0</v>
      </c>
      <c r="AC57">
        <v>0</v>
      </c>
      <c r="AD57">
        <v>2</v>
      </c>
      <c r="AE57">
        <v>0</v>
      </c>
      <c r="AF57">
        <v>0</v>
      </c>
      <c r="AG57">
        <v>0</v>
      </c>
      <c r="AH57">
        <v>0</v>
      </c>
      <c r="AI57">
        <v>0</v>
      </c>
      <c r="AJ57">
        <v>0</v>
      </c>
      <c r="AK57">
        <v>0</v>
      </c>
      <c r="AL57">
        <v>0</v>
      </c>
      <c r="AM57">
        <v>0</v>
      </c>
      <c r="AN57">
        <v>0</v>
      </c>
      <c r="AO57">
        <v>0</v>
      </c>
      <c r="AP57">
        <v>0</v>
      </c>
      <c r="AQ57">
        <v>0</v>
      </c>
      <c r="AR57">
        <v>0</v>
      </c>
      <c r="AS57">
        <v>0</v>
      </c>
      <c r="AT57">
        <v>0</v>
      </c>
      <c r="AU57" t="s">
        <v>242</v>
      </c>
      <c r="AV57" t="s">
        <v>457</v>
      </c>
      <c r="AW57" t="s">
        <v>328</v>
      </c>
      <c r="AX57" t="s">
        <v>458</v>
      </c>
      <c r="AY57">
        <v>77087</v>
      </c>
      <c r="AZ57">
        <v>48201332600</v>
      </c>
      <c r="BA57" t="s">
        <v>329</v>
      </c>
      <c r="BB57" t="s">
        <v>330</v>
      </c>
      <c r="BC57">
        <v>158977</v>
      </c>
      <c r="BD57">
        <v>2840</v>
      </c>
      <c r="BE57" t="s">
        <v>407</v>
      </c>
      <c r="BF57" t="s">
        <v>407</v>
      </c>
      <c r="BG57" t="s">
        <v>407</v>
      </c>
    </row>
    <row r="58" spans="1:59" x14ac:dyDescent="0.3">
      <c r="A58">
        <v>193684</v>
      </c>
      <c r="B58">
        <v>17050241</v>
      </c>
      <c r="C58">
        <v>2019</v>
      </c>
      <c r="D58" s="62">
        <v>43589</v>
      </c>
      <c r="E58">
        <v>15</v>
      </c>
      <c r="F58" t="s">
        <v>436</v>
      </c>
      <c r="G58" t="s">
        <v>319</v>
      </c>
      <c r="H58" t="s">
        <v>453</v>
      </c>
      <c r="I58" t="s">
        <v>411</v>
      </c>
      <c r="J58">
        <v>29.684798879999999</v>
      </c>
      <c r="K58">
        <v>-95.296187869999997</v>
      </c>
      <c r="L58" t="s">
        <v>321</v>
      </c>
      <c r="M58" t="s">
        <v>322</v>
      </c>
      <c r="N58" t="s">
        <v>422</v>
      </c>
      <c r="O58" t="s">
        <v>324</v>
      </c>
      <c r="P58" t="s">
        <v>283</v>
      </c>
      <c r="Q58" t="s">
        <v>332</v>
      </c>
      <c r="R58" t="s">
        <v>406</v>
      </c>
      <c r="S58">
        <v>0</v>
      </c>
      <c r="T58">
        <v>0</v>
      </c>
      <c r="U58">
        <v>0</v>
      </c>
      <c r="V58">
        <v>1</v>
      </c>
      <c r="W58">
        <v>1</v>
      </c>
      <c r="X58">
        <v>1</v>
      </c>
      <c r="Y58">
        <v>0</v>
      </c>
      <c r="Z58">
        <v>0</v>
      </c>
      <c r="AA58">
        <v>0</v>
      </c>
      <c r="AB58">
        <v>0</v>
      </c>
      <c r="AC58">
        <v>1</v>
      </c>
      <c r="AD58">
        <v>1</v>
      </c>
      <c r="AE58">
        <v>1</v>
      </c>
      <c r="AF58">
        <v>0</v>
      </c>
      <c r="AG58">
        <v>0</v>
      </c>
      <c r="AH58">
        <v>0</v>
      </c>
      <c r="AI58">
        <v>0</v>
      </c>
      <c r="AJ58">
        <v>0</v>
      </c>
      <c r="AK58">
        <v>0</v>
      </c>
      <c r="AL58">
        <v>0</v>
      </c>
      <c r="AM58">
        <v>0</v>
      </c>
      <c r="AN58">
        <v>0</v>
      </c>
      <c r="AO58">
        <v>0</v>
      </c>
      <c r="AP58">
        <v>0</v>
      </c>
      <c r="AQ58">
        <v>0</v>
      </c>
      <c r="AR58">
        <v>0</v>
      </c>
      <c r="AS58">
        <v>0</v>
      </c>
      <c r="AT58">
        <v>0</v>
      </c>
      <c r="AU58" t="s">
        <v>242</v>
      </c>
      <c r="AV58" t="s">
        <v>457</v>
      </c>
      <c r="AW58" t="s">
        <v>328</v>
      </c>
      <c r="AX58" t="s">
        <v>458</v>
      </c>
      <c r="AY58">
        <v>77087</v>
      </c>
      <c r="AZ58">
        <v>48201332700</v>
      </c>
      <c r="BA58" t="s">
        <v>329</v>
      </c>
      <c r="BB58" t="s">
        <v>330</v>
      </c>
      <c r="BC58">
        <v>53817</v>
      </c>
      <c r="BD58">
        <v>2840</v>
      </c>
      <c r="BE58" t="s">
        <v>407</v>
      </c>
      <c r="BF58" t="s">
        <v>407</v>
      </c>
      <c r="BG58" t="s">
        <v>407</v>
      </c>
    </row>
    <row r="59" spans="1:59" x14ac:dyDescent="0.3">
      <c r="A59">
        <v>193699</v>
      </c>
      <c r="B59">
        <v>17050360</v>
      </c>
      <c r="C59">
        <v>2019</v>
      </c>
      <c r="D59" s="62">
        <v>43590</v>
      </c>
      <c r="E59">
        <v>14</v>
      </c>
      <c r="F59" t="s">
        <v>408</v>
      </c>
      <c r="G59" t="s">
        <v>319</v>
      </c>
      <c r="H59" t="s">
        <v>453</v>
      </c>
      <c r="I59" t="s">
        <v>437</v>
      </c>
      <c r="J59">
        <v>29.687742409999998</v>
      </c>
      <c r="K59">
        <v>-95.297985670000003</v>
      </c>
      <c r="L59" t="s">
        <v>321</v>
      </c>
      <c r="M59" t="s">
        <v>322</v>
      </c>
      <c r="N59" t="s">
        <v>323</v>
      </c>
      <c r="O59" t="s">
        <v>324</v>
      </c>
      <c r="P59" t="s">
        <v>283</v>
      </c>
      <c r="Q59" t="s">
        <v>332</v>
      </c>
      <c r="R59" t="s">
        <v>406</v>
      </c>
      <c r="S59">
        <v>0</v>
      </c>
      <c r="T59">
        <v>0</v>
      </c>
      <c r="U59">
        <v>0</v>
      </c>
      <c r="V59">
        <v>1</v>
      </c>
      <c r="W59">
        <v>1</v>
      </c>
      <c r="X59">
        <v>6</v>
      </c>
      <c r="Y59">
        <v>0</v>
      </c>
      <c r="Z59">
        <v>0</v>
      </c>
      <c r="AA59">
        <v>0</v>
      </c>
      <c r="AB59">
        <v>0</v>
      </c>
      <c r="AC59">
        <v>1</v>
      </c>
      <c r="AD59">
        <v>6</v>
      </c>
      <c r="AE59">
        <v>1</v>
      </c>
      <c r="AF59">
        <v>0</v>
      </c>
      <c r="AG59">
        <v>0</v>
      </c>
      <c r="AH59">
        <v>0</v>
      </c>
      <c r="AI59">
        <v>0</v>
      </c>
      <c r="AJ59">
        <v>0</v>
      </c>
      <c r="AK59">
        <v>0</v>
      </c>
      <c r="AL59">
        <v>0</v>
      </c>
      <c r="AM59">
        <v>0</v>
      </c>
      <c r="AN59">
        <v>0</v>
      </c>
      <c r="AO59">
        <v>0</v>
      </c>
      <c r="AP59">
        <v>0</v>
      </c>
      <c r="AQ59">
        <v>0</v>
      </c>
      <c r="AR59">
        <v>0</v>
      </c>
      <c r="AS59">
        <v>0</v>
      </c>
      <c r="AT59">
        <v>0</v>
      </c>
      <c r="AU59" t="s">
        <v>242</v>
      </c>
      <c r="AV59" t="s">
        <v>457</v>
      </c>
      <c r="AW59" t="s">
        <v>328</v>
      </c>
      <c r="AX59" t="s">
        <v>458</v>
      </c>
      <c r="AY59">
        <v>77087</v>
      </c>
      <c r="AZ59">
        <v>48201332800</v>
      </c>
      <c r="BA59" t="s">
        <v>329</v>
      </c>
      <c r="BB59" t="s">
        <v>330</v>
      </c>
      <c r="BC59">
        <v>54037</v>
      </c>
      <c r="BD59">
        <v>2892</v>
      </c>
      <c r="BE59" t="s">
        <v>407</v>
      </c>
      <c r="BF59" t="s">
        <v>407</v>
      </c>
      <c r="BG59" t="s">
        <v>407</v>
      </c>
    </row>
    <row r="60" spans="1:59" x14ac:dyDescent="0.3">
      <c r="A60">
        <v>195054</v>
      </c>
      <c r="B60">
        <v>17056995</v>
      </c>
      <c r="C60">
        <v>2019</v>
      </c>
      <c r="D60" s="62">
        <v>43590</v>
      </c>
      <c r="E60">
        <v>6</v>
      </c>
      <c r="F60" t="s">
        <v>408</v>
      </c>
      <c r="G60" t="s">
        <v>319</v>
      </c>
      <c r="H60" t="s">
        <v>453</v>
      </c>
      <c r="I60" t="s">
        <v>427</v>
      </c>
      <c r="J60">
        <v>29.67905481</v>
      </c>
      <c r="K60">
        <v>-95.292363109999997</v>
      </c>
      <c r="L60" t="s">
        <v>321</v>
      </c>
      <c r="M60" t="s">
        <v>322</v>
      </c>
      <c r="N60" t="s">
        <v>323</v>
      </c>
      <c r="O60" t="s">
        <v>445</v>
      </c>
      <c r="P60" t="s">
        <v>428</v>
      </c>
      <c r="Q60" t="s">
        <v>332</v>
      </c>
      <c r="R60" t="s">
        <v>434</v>
      </c>
      <c r="AU60" t="s">
        <v>242</v>
      </c>
      <c r="AV60" t="s">
        <v>327</v>
      </c>
      <c r="AW60" t="s">
        <v>328</v>
      </c>
      <c r="AX60" t="s">
        <v>458</v>
      </c>
      <c r="AY60">
        <v>77087</v>
      </c>
      <c r="AZ60">
        <v>48201332600</v>
      </c>
      <c r="BA60" t="s">
        <v>329</v>
      </c>
      <c r="BB60" t="s">
        <v>330</v>
      </c>
      <c r="BC60">
        <v>158977</v>
      </c>
      <c r="BD60">
        <v>2840</v>
      </c>
      <c r="BE60" t="s">
        <v>407</v>
      </c>
      <c r="BF60" t="s">
        <v>407</v>
      </c>
      <c r="BG60" t="s">
        <v>407</v>
      </c>
    </row>
    <row r="61" spans="1:59" x14ac:dyDescent="0.3">
      <c r="A61">
        <v>197873</v>
      </c>
      <c r="B61">
        <v>17069847</v>
      </c>
      <c r="C61">
        <v>2019</v>
      </c>
      <c r="D61" s="62">
        <v>43593</v>
      </c>
      <c r="E61">
        <v>9</v>
      </c>
      <c r="F61" t="s">
        <v>405</v>
      </c>
      <c r="G61" t="s">
        <v>319</v>
      </c>
      <c r="H61" t="s">
        <v>453</v>
      </c>
      <c r="I61" t="s">
        <v>427</v>
      </c>
      <c r="J61">
        <v>29.69351481</v>
      </c>
      <c r="K61">
        <v>-95.299363110000002</v>
      </c>
      <c r="L61" t="s">
        <v>420</v>
      </c>
      <c r="M61" t="s">
        <v>322</v>
      </c>
      <c r="N61" t="s">
        <v>429</v>
      </c>
      <c r="O61" t="s">
        <v>324</v>
      </c>
      <c r="P61" t="s">
        <v>414</v>
      </c>
      <c r="Q61" t="s">
        <v>331</v>
      </c>
      <c r="R61" t="s">
        <v>434</v>
      </c>
      <c r="S61">
        <v>0</v>
      </c>
      <c r="T61">
        <v>0</v>
      </c>
      <c r="U61">
        <v>0</v>
      </c>
      <c r="V61">
        <v>0</v>
      </c>
      <c r="W61">
        <v>0</v>
      </c>
      <c r="X61">
        <v>2</v>
      </c>
      <c r="Y61">
        <v>0</v>
      </c>
      <c r="Z61">
        <v>0</v>
      </c>
      <c r="AA61">
        <v>0</v>
      </c>
      <c r="AB61">
        <v>0</v>
      </c>
      <c r="AC61">
        <v>0</v>
      </c>
      <c r="AD61">
        <v>2</v>
      </c>
      <c r="AE61">
        <v>0</v>
      </c>
      <c r="AF61">
        <v>0</v>
      </c>
      <c r="AG61">
        <v>0</v>
      </c>
      <c r="AH61">
        <v>0</v>
      </c>
      <c r="AI61">
        <v>0</v>
      </c>
      <c r="AJ61">
        <v>0</v>
      </c>
      <c r="AK61">
        <v>0</v>
      </c>
      <c r="AL61">
        <v>0</v>
      </c>
      <c r="AM61">
        <v>0</v>
      </c>
      <c r="AN61">
        <v>0</v>
      </c>
      <c r="AO61">
        <v>0</v>
      </c>
      <c r="AP61">
        <v>0</v>
      </c>
      <c r="AQ61">
        <v>0</v>
      </c>
      <c r="AR61">
        <v>0</v>
      </c>
      <c r="AS61">
        <v>0</v>
      </c>
      <c r="AT61">
        <v>0</v>
      </c>
      <c r="AU61" t="s">
        <v>242</v>
      </c>
      <c r="AV61" t="s">
        <v>457</v>
      </c>
      <c r="AW61" t="s">
        <v>328</v>
      </c>
      <c r="AX61" t="s">
        <v>458</v>
      </c>
      <c r="AY61">
        <v>77087</v>
      </c>
      <c r="AZ61">
        <v>48201332800</v>
      </c>
      <c r="BA61" t="s">
        <v>329</v>
      </c>
      <c r="BB61" t="s">
        <v>330</v>
      </c>
      <c r="BC61">
        <v>54257</v>
      </c>
      <c r="BD61">
        <v>2892</v>
      </c>
      <c r="BE61" t="s">
        <v>407</v>
      </c>
      <c r="BF61" t="s">
        <v>407</v>
      </c>
      <c r="BG61" t="s">
        <v>407</v>
      </c>
    </row>
    <row r="62" spans="1:59" x14ac:dyDescent="0.3">
      <c r="A62">
        <v>203889</v>
      </c>
      <c r="B62">
        <v>17097178</v>
      </c>
      <c r="C62">
        <v>2019</v>
      </c>
      <c r="D62" s="62">
        <v>43612</v>
      </c>
      <c r="E62">
        <v>20</v>
      </c>
      <c r="F62" t="s">
        <v>417</v>
      </c>
      <c r="G62" t="s">
        <v>319</v>
      </c>
      <c r="H62" t="s">
        <v>453</v>
      </c>
      <c r="I62" t="s">
        <v>437</v>
      </c>
      <c r="J62">
        <v>29.69145185</v>
      </c>
      <c r="K62">
        <v>-95.298786370000002</v>
      </c>
      <c r="L62" t="s">
        <v>321</v>
      </c>
      <c r="M62" t="s">
        <v>322</v>
      </c>
      <c r="N62" t="s">
        <v>323</v>
      </c>
      <c r="O62" t="s">
        <v>324</v>
      </c>
      <c r="P62" t="s">
        <v>441</v>
      </c>
      <c r="Q62" t="s">
        <v>332</v>
      </c>
      <c r="R62" t="s">
        <v>426</v>
      </c>
      <c r="S62">
        <v>0</v>
      </c>
      <c r="T62">
        <v>2</v>
      </c>
      <c r="U62">
        <v>0</v>
      </c>
      <c r="V62">
        <v>1</v>
      </c>
      <c r="W62">
        <v>3</v>
      </c>
      <c r="X62">
        <v>0</v>
      </c>
      <c r="Y62">
        <v>0</v>
      </c>
      <c r="Z62">
        <v>0</v>
      </c>
      <c r="AA62">
        <v>2</v>
      </c>
      <c r="AB62">
        <v>0</v>
      </c>
      <c r="AC62">
        <v>1</v>
      </c>
      <c r="AD62">
        <v>0</v>
      </c>
      <c r="AE62">
        <v>3</v>
      </c>
      <c r="AF62">
        <v>0</v>
      </c>
      <c r="AG62">
        <v>0</v>
      </c>
      <c r="AH62">
        <v>0</v>
      </c>
      <c r="AI62">
        <v>0</v>
      </c>
      <c r="AJ62">
        <v>0</v>
      </c>
      <c r="AK62">
        <v>0</v>
      </c>
      <c r="AL62">
        <v>0</v>
      </c>
      <c r="AM62">
        <v>0</v>
      </c>
      <c r="AN62">
        <v>0</v>
      </c>
      <c r="AO62">
        <v>0</v>
      </c>
      <c r="AP62">
        <v>0</v>
      </c>
      <c r="AQ62">
        <v>0</v>
      </c>
      <c r="AR62">
        <v>0</v>
      </c>
      <c r="AS62">
        <v>0</v>
      </c>
      <c r="AT62">
        <v>0</v>
      </c>
      <c r="AU62" t="s">
        <v>242</v>
      </c>
      <c r="AV62" t="s">
        <v>457</v>
      </c>
      <c r="AW62" t="s">
        <v>328</v>
      </c>
      <c r="AX62" t="s">
        <v>458</v>
      </c>
      <c r="AY62">
        <v>77087</v>
      </c>
      <c r="AZ62">
        <v>48201332900</v>
      </c>
      <c r="BA62" t="s">
        <v>329</v>
      </c>
      <c r="BB62" t="s">
        <v>330</v>
      </c>
      <c r="BC62">
        <v>54037</v>
      </c>
      <c r="BD62">
        <v>2892</v>
      </c>
      <c r="BE62" t="s">
        <v>407</v>
      </c>
      <c r="BF62" t="s">
        <v>407</v>
      </c>
      <c r="BG62" t="s">
        <v>407</v>
      </c>
    </row>
    <row r="63" spans="1:59" x14ac:dyDescent="0.3">
      <c r="A63">
        <v>205511</v>
      </c>
      <c r="B63">
        <v>17105687</v>
      </c>
      <c r="C63">
        <v>2019</v>
      </c>
      <c r="D63" s="62">
        <v>43610</v>
      </c>
      <c r="E63">
        <v>12</v>
      </c>
      <c r="F63" t="s">
        <v>436</v>
      </c>
      <c r="G63" t="s">
        <v>483</v>
      </c>
      <c r="H63" t="s">
        <v>484</v>
      </c>
      <c r="I63" t="s">
        <v>419</v>
      </c>
      <c r="J63">
        <v>29.695324809999999</v>
      </c>
      <c r="K63">
        <v>-95.300063109999996</v>
      </c>
      <c r="L63" t="s">
        <v>321</v>
      </c>
      <c r="M63" t="s">
        <v>322</v>
      </c>
      <c r="N63" t="s">
        <v>421</v>
      </c>
      <c r="O63" t="s">
        <v>324</v>
      </c>
      <c r="P63" t="s">
        <v>414</v>
      </c>
      <c r="Q63" t="s">
        <v>278</v>
      </c>
      <c r="R63" t="s">
        <v>485</v>
      </c>
      <c r="S63">
        <v>0</v>
      </c>
      <c r="T63">
        <v>0</v>
      </c>
      <c r="U63">
        <v>0</v>
      </c>
      <c r="V63">
        <v>0</v>
      </c>
      <c r="W63">
        <v>0</v>
      </c>
      <c r="X63">
        <v>4</v>
      </c>
      <c r="Y63">
        <v>0</v>
      </c>
      <c r="Z63">
        <v>0</v>
      </c>
      <c r="AA63">
        <v>0</v>
      </c>
      <c r="AB63">
        <v>0</v>
      </c>
      <c r="AC63">
        <v>0</v>
      </c>
      <c r="AD63">
        <v>4</v>
      </c>
      <c r="AE63">
        <v>0</v>
      </c>
      <c r="AF63">
        <v>0</v>
      </c>
      <c r="AG63">
        <v>0</v>
      </c>
      <c r="AH63">
        <v>0</v>
      </c>
      <c r="AI63">
        <v>0</v>
      </c>
      <c r="AJ63">
        <v>0</v>
      </c>
      <c r="AK63">
        <v>0</v>
      </c>
      <c r="AL63">
        <v>0</v>
      </c>
      <c r="AM63">
        <v>0</v>
      </c>
      <c r="AN63">
        <v>0</v>
      </c>
      <c r="AO63">
        <v>0</v>
      </c>
      <c r="AP63">
        <v>0</v>
      </c>
      <c r="AQ63">
        <v>0</v>
      </c>
      <c r="AR63">
        <v>0</v>
      </c>
      <c r="AS63">
        <v>0</v>
      </c>
      <c r="AT63">
        <v>0</v>
      </c>
      <c r="AU63" t="s">
        <v>242</v>
      </c>
      <c r="AV63" t="s">
        <v>457</v>
      </c>
      <c r="AW63" t="s">
        <v>328</v>
      </c>
      <c r="AX63" t="s">
        <v>458</v>
      </c>
      <c r="AY63">
        <v>77087</v>
      </c>
      <c r="AZ63">
        <v>48201332900</v>
      </c>
      <c r="BA63" t="s">
        <v>329</v>
      </c>
      <c r="BB63" t="s">
        <v>330</v>
      </c>
      <c r="BC63">
        <v>54257</v>
      </c>
      <c r="BD63">
        <v>2892</v>
      </c>
      <c r="BE63" t="s">
        <v>407</v>
      </c>
      <c r="BF63" t="s">
        <v>407</v>
      </c>
      <c r="BG63" t="s">
        <v>407</v>
      </c>
    </row>
    <row r="64" spans="1:59" x14ac:dyDescent="0.3">
      <c r="A64">
        <v>211178</v>
      </c>
      <c r="B64">
        <v>17134319</v>
      </c>
      <c r="C64">
        <v>2019</v>
      </c>
      <c r="D64" s="62">
        <v>43623</v>
      </c>
      <c r="E64">
        <v>16</v>
      </c>
      <c r="F64" t="s">
        <v>418</v>
      </c>
      <c r="G64" t="s">
        <v>319</v>
      </c>
      <c r="H64" t="s">
        <v>453</v>
      </c>
      <c r="I64" t="s">
        <v>411</v>
      </c>
      <c r="J64">
        <v>29.676704820000001</v>
      </c>
      <c r="K64">
        <v>-95.290663109999997</v>
      </c>
      <c r="L64" t="s">
        <v>321</v>
      </c>
      <c r="M64" t="s">
        <v>322</v>
      </c>
      <c r="N64" t="s">
        <v>323</v>
      </c>
      <c r="O64" t="s">
        <v>324</v>
      </c>
      <c r="P64" t="s">
        <v>414</v>
      </c>
      <c r="Q64" t="s">
        <v>331</v>
      </c>
      <c r="R64" t="s">
        <v>416</v>
      </c>
      <c r="S64">
        <v>0</v>
      </c>
      <c r="T64">
        <v>0</v>
      </c>
      <c r="U64">
        <v>0</v>
      </c>
      <c r="V64">
        <v>0</v>
      </c>
      <c r="W64">
        <v>0</v>
      </c>
      <c r="X64">
        <v>4</v>
      </c>
      <c r="Y64">
        <v>0</v>
      </c>
      <c r="Z64">
        <v>0</v>
      </c>
      <c r="AA64">
        <v>0</v>
      </c>
      <c r="AB64">
        <v>0</v>
      </c>
      <c r="AC64">
        <v>0</v>
      </c>
      <c r="AD64">
        <v>4</v>
      </c>
      <c r="AE64">
        <v>0</v>
      </c>
      <c r="AF64">
        <v>0</v>
      </c>
      <c r="AG64">
        <v>0</v>
      </c>
      <c r="AH64">
        <v>0</v>
      </c>
      <c r="AI64">
        <v>0</v>
      </c>
      <c r="AJ64">
        <v>0</v>
      </c>
      <c r="AK64">
        <v>0</v>
      </c>
      <c r="AL64">
        <v>0</v>
      </c>
      <c r="AM64">
        <v>0</v>
      </c>
      <c r="AN64">
        <v>0</v>
      </c>
      <c r="AO64">
        <v>0</v>
      </c>
      <c r="AP64">
        <v>0</v>
      </c>
      <c r="AQ64">
        <v>0</v>
      </c>
      <c r="AR64">
        <v>0</v>
      </c>
      <c r="AS64">
        <v>0</v>
      </c>
      <c r="AT64">
        <v>0</v>
      </c>
      <c r="AU64" t="s">
        <v>242</v>
      </c>
      <c r="AV64" t="s">
        <v>327</v>
      </c>
      <c r="AW64" t="s">
        <v>328</v>
      </c>
      <c r="AX64" t="s">
        <v>458</v>
      </c>
      <c r="AY64">
        <v>77087</v>
      </c>
      <c r="AZ64">
        <v>48201332600</v>
      </c>
      <c r="BA64" t="s">
        <v>329</v>
      </c>
      <c r="BB64" t="s">
        <v>330</v>
      </c>
      <c r="BC64">
        <v>158757</v>
      </c>
      <c r="BD64">
        <v>2840</v>
      </c>
      <c r="BE64" t="s">
        <v>486</v>
      </c>
      <c r="BF64" t="s">
        <v>407</v>
      </c>
      <c r="BG64" t="s">
        <v>407</v>
      </c>
    </row>
    <row r="65" spans="1:59" x14ac:dyDescent="0.3">
      <c r="A65">
        <v>211307</v>
      </c>
      <c r="B65">
        <v>17134894</v>
      </c>
      <c r="C65">
        <v>2019</v>
      </c>
      <c r="D65" s="62">
        <v>43607</v>
      </c>
      <c r="E65">
        <v>17</v>
      </c>
      <c r="F65" t="s">
        <v>405</v>
      </c>
      <c r="G65" t="s">
        <v>319</v>
      </c>
      <c r="H65" t="s">
        <v>473</v>
      </c>
      <c r="I65" t="s">
        <v>411</v>
      </c>
      <c r="J65">
        <v>29.67510352</v>
      </c>
      <c r="K65">
        <v>-95.289242439999995</v>
      </c>
      <c r="L65" t="s">
        <v>321</v>
      </c>
      <c r="M65" t="s">
        <v>322</v>
      </c>
      <c r="N65" t="s">
        <v>323</v>
      </c>
      <c r="O65" t="s">
        <v>324</v>
      </c>
      <c r="P65" t="s">
        <v>414</v>
      </c>
      <c r="Q65" t="s">
        <v>332</v>
      </c>
      <c r="R65" t="s">
        <v>416</v>
      </c>
      <c r="S65">
        <v>0</v>
      </c>
      <c r="T65">
        <v>0</v>
      </c>
      <c r="U65">
        <v>0</v>
      </c>
      <c r="V65">
        <v>0</v>
      </c>
      <c r="W65">
        <v>0</v>
      </c>
      <c r="X65">
        <v>2</v>
      </c>
      <c r="Y65">
        <v>0</v>
      </c>
      <c r="Z65">
        <v>0</v>
      </c>
      <c r="AA65">
        <v>0</v>
      </c>
      <c r="AB65">
        <v>0</v>
      </c>
      <c r="AC65">
        <v>0</v>
      </c>
      <c r="AD65">
        <v>2</v>
      </c>
      <c r="AE65">
        <v>0</v>
      </c>
      <c r="AF65">
        <v>0</v>
      </c>
      <c r="AG65">
        <v>0</v>
      </c>
      <c r="AH65">
        <v>0</v>
      </c>
      <c r="AI65">
        <v>0</v>
      </c>
      <c r="AJ65">
        <v>0</v>
      </c>
      <c r="AK65">
        <v>0</v>
      </c>
      <c r="AL65">
        <v>0</v>
      </c>
      <c r="AM65">
        <v>0</v>
      </c>
      <c r="AN65">
        <v>0</v>
      </c>
      <c r="AO65">
        <v>0</v>
      </c>
      <c r="AP65">
        <v>0</v>
      </c>
      <c r="AQ65">
        <v>0</v>
      </c>
      <c r="AR65">
        <v>0</v>
      </c>
      <c r="AS65">
        <v>0</v>
      </c>
      <c r="AT65">
        <v>0</v>
      </c>
      <c r="AU65" t="s">
        <v>242</v>
      </c>
      <c r="AV65" t="s">
        <v>457</v>
      </c>
      <c r="AW65" t="s">
        <v>328</v>
      </c>
      <c r="AX65" t="s">
        <v>458</v>
      </c>
      <c r="AY65">
        <v>77087</v>
      </c>
      <c r="AZ65">
        <v>48201333000</v>
      </c>
      <c r="BA65" t="s">
        <v>329</v>
      </c>
      <c r="BB65" t="s">
        <v>330</v>
      </c>
      <c r="BC65">
        <v>53378</v>
      </c>
      <c r="BD65">
        <v>2840</v>
      </c>
      <c r="BE65" t="s">
        <v>407</v>
      </c>
      <c r="BF65" t="s">
        <v>407</v>
      </c>
      <c r="BG65" t="s">
        <v>407</v>
      </c>
    </row>
    <row r="66" spans="1:59" x14ac:dyDescent="0.3">
      <c r="A66">
        <v>213116</v>
      </c>
      <c r="B66">
        <v>17142459</v>
      </c>
      <c r="C66">
        <v>2019</v>
      </c>
      <c r="D66" s="62">
        <v>43633</v>
      </c>
      <c r="E66">
        <v>6</v>
      </c>
      <c r="F66" t="s">
        <v>417</v>
      </c>
      <c r="G66" t="s">
        <v>319</v>
      </c>
      <c r="H66" t="s">
        <v>473</v>
      </c>
      <c r="I66" t="s">
        <v>409</v>
      </c>
      <c r="J66">
        <v>29.675327660000001</v>
      </c>
      <c r="K66">
        <v>-95.289248520000001</v>
      </c>
      <c r="L66" t="s">
        <v>430</v>
      </c>
      <c r="M66" t="s">
        <v>322</v>
      </c>
      <c r="N66" t="s">
        <v>323</v>
      </c>
      <c r="O66" t="s">
        <v>324</v>
      </c>
      <c r="P66" t="s">
        <v>414</v>
      </c>
      <c r="Q66" t="s">
        <v>331</v>
      </c>
      <c r="R66" t="s">
        <v>326</v>
      </c>
      <c r="S66">
        <v>0</v>
      </c>
      <c r="T66">
        <v>0</v>
      </c>
      <c r="U66">
        <v>0</v>
      </c>
      <c r="V66">
        <v>0</v>
      </c>
      <c r="W66">
        <v>0</v>
      </c>
      <c r="X66">
        <v>2</v>
      </c>
      <c r="Y66">
        <v>0</v>
      </c>
      <c r="Z66">
        <v>0</v>
      </c>
      <c r="AA66">
        <v>0</v>
      </c>
      <c r="AB66">
        <v>0</v>
      </c>
      <c r="AC66">
        <v>0</v>
      </c>
      <c r="AD66">
        <v>2</v>
      </c>
      <c r="AE66">
        <v>0</v>
      </c>
      <c r="AF66">
        <v>0</v>
      </c>
      <c r="AG66">
        <v>0</v>
      </c>
      <c r="AH66">
        <v>0</v>
      </c>
      <c r="AI66">
        <v>0</v>
      </c>
      <c r="AJ66">
        <v>0</v>
      </c>
      <c r="AK66">
        <v>0</v>
      </c>
      <c r="AL66">
        <v>0</v>
      </c>
      <c r="AM66">
        <v>0</v>
      </c>
      <c r="AN66">
        <v>0</v>
      </c>
      <c r="AO66">
        <v>0</v>
      </c>
      <c r="AP66">
        <v>0</v>
      </c>
      <c r="AQ66">
        <v>0</v>
      </c>
      <c r="AR66">
        <v>0</v>
      </c>
      <c r="AS66">
        <v>0</v>
      </c>
      <c r="AT66">
        <v>0</v>
      </c>
      <c r="AU66" t="s">
        <v>242</v>
      </c>
      <c r="AV66" t="s">
        <v>457</v>
      </c>
      <c r="AW66" t="s">
        <v>328</v>
      </c>
      <c r="AX66" t="s">
        <v>458</v>
      </c>
      <c r="AY66">
        <v>77087</v>
      </c>
      <c r="AZ66">
        <v>48201333000</v>
      </c>
      <c r="BA66" t="s">
        <v>329</v>
      </c>
      <c r="BB66" t="s">
        <v>330</v>
      </c>
      <c r="BC66">
        <v>53378</v>
      </c>
      <c r="BD66">
        <v>2840</v>
      </c>
      <c r="BE66" t="s">
        <v>407</v>
      </c>
      <c r="BF66" t="s">
        <v>407</v>
      </c>
      <c r="BG66" t="s">
        <v>407</v>
      </c>
    </row>
    <row r="67" spans="1:59" x14ac:dyDescent="0.3">
      <c r="A67">
        <v>216606</v>
      </c>
      <c r="B67">
        <v>17156706</v>
      </c>
      <c r="C67">
        <v>2019</v>
      </c>
      <c r="D67" s="62">
        <v>43634</v>
      </c>
      <c r="E67">
        <v>20</v>
      </c>
      <c r="F67" t="s">
        <v>318</v>
      </c>
      <c r="G67" t="s">
        <v>319</v>
      </c>
      <c r="H67" t="s">
        <v>453</v>
      </c>
      <c r="I67" t="s">
        <v>320</v>
      </c>
      <c r="J67">
        <v>29.691314810000002</v>
      </c>
      <c r="K67">
        <v>-95.298783110000002</v>
      </c>
      <c r="L67" t="s">
        <v>321</v>
      </c>
      <c r="M67" t="s">
        <v>322</v>
      </c>
      <c r="N67" t="s">
        <v>444</v>
      </c>
      <c r="O67" t="s">
        <v>324</v>
      </c>
      <c r="P67" t="s">
        <v>410</v>
      </c>
      <c r="Q67" t="s">
        <v>331</v>
      </c>
      <c r="R67" t="s">
        <v>439</v>
      </c>
      <c r="S67">
        <v>0</v>
      </c>
      <c r="T67">
        <v>0</v>
      </c>
      <c r="U67">
        <v>1</v>
      </c>
      <c r="V67">
        <v>0</v>
      </c>
      <c r="W67">
        <v>1</v>
      </c>
      <c r="X67">
        <v>1</v>
      </c>
      <c r="Y67">
        <v>1</v>
      </c>
      <c r="Z67">
        <v>0</v>
      </c>
      <c r="AA67">
        <v>0</v>
      </c>
      <c r="AB67">
        <v>1</v>
      </c>
      <c r="AC67">
        <v>0</v>
      </c>
      <c r="AD67">
        <v>1</v>
      </c>
      <c r="AE67">
        <v>1</v>
      </c>
      <c r="AF67">
        <v>1</v>
      </c>
      <c r="AG67">
        <v>0</v>
      </c>
      <c r="AH67">
        <v>0</v>
      </c>
      <c r="AI67">
        <v>0</v>
      </c>
      <c r="AJ67">
        <v>0</v>
      </c>
      <c r="AK67">
        <v>0</v>
      </c>
      <c r="AL67">
        <v>0</v>
      </c>
      <c r="AM67">
        <v>0</v>
      </c>
      <c r="AN67">
        <v>0</v>
      </c>
      <c r="AO67">
        <v>0</v>
      </c>
      <c r="AP67">
        <v>0</v>
      </c>
      <c r="AQ67">
        <v>0</v>
      </c>
      <c r="AR67">
        <v>0</v>
      </c>
      <c r="AS67">
        <v>0</v>
      </c>
      <c r="AT67">
        <v>0</v>
      </c>
      <c r="AU67" t="s">
        <v>242</v>
      </c>
      <c r="AV67" t="s">
        <v>457</v>
      </c>
      <c r="AW67" t="s">
        <v>328</v>
      </c>
      <c r="AX67" t="s">
        <v>458</v>
      </c>
      <c r="AY67">
        <v>77087</v>
      </c>
      <c r="AZ67">
        <v>48201332900</v>
      </c>
      <c r="BA67" t="s">
        <v>329</v>
      </c>
      <c r="BB67" t="s">
        <v>330</v>
      </c>
      <c r="BC67">
        <v>54037</v>
      </c>
      <c r="BD67">
        <v>2892</v>
      </c>
      <c r="BE67" t="s">
        <v>407</v>
      </c>
      <c r="BF67" t="s">
        <v>407</v>
      </c>
      <c r="BG67" t="s">
        <v>407</v>
      </c>
    </row>
    <row r="68" spans="1:59" x14ac:dyDescent="0.3">
      <c r="A68">
        <v>218340</v>
      </c>
      <c r="B68">
        <v>17165091</v>
      </c>
      <c r="C68">
        <v>2019</v>
      </c>
      <c r="D68" s="62">
        <v>43651</v>
      </c>
      <c r="E68">
        <v>6</v>
      </c>
      <c r="F68" t="s">
        <v>418</v>
      </c>
      <c r="G68" t="s">
        <v>319</v>
      </c>
      <c r="H68" t="s">
        <v>453</v>
      </c>
      <c r="I68" t="s">
        <v>437</v>
      </c>
      <c r="J68">
        <v>29.69351481</v>
      </c>
      <c r="K68">
        <v>-95.299363110000002</v>
      </c>
      <c r="L68" t="s">
        <v>321</v>
      </c>
      <c r="M68" t="s">
        <v>322</v>
      </c>
      <c r="N68" t="s">
        <v>422</v>
      </c>
      <c r="O68" t="s">
        <v>445</v>
      </c>
      <c r="P68" t="s">
        <v>428</v>
      </c>
      <c r="Q68" t="s">
        <v>332</v>
      </c>
      <c r="R68" t="s">
        <v>471</v>
      </c>
      <c r="S68">
        <v>0</v>
      </c>
      <c r="T68">
        <v>0</v>
      </c>
      <c r="U68">
        <v>0</v>
      </c>
      <c r="V68">
        <v>0</v>
      </c>
      <c r="W68">
        <v>0</v>
      </c>
      <c r="X68">
        <v>0</v>
      </c>
      <c r="Y68">
        <v>1</v>
      </c>
      <c r="Z68">
        <v>0</v>
      </c>
      <c r="AA68">
        <v>0</v>
      </c>
      <c r="AB68">
        <v>0</v>
      </c>
      <c r="AC68">
        <v>0</v>
      </c>
      <c r="AD68">
        <v>0</v>
      </c>
      <c r="AE68">
        <v>0</v>
      </c>
      <c r="AF68">
        <v>1</v>
      </c>
      <c r="AG68">
        <v>0</v>
      </c>
      <c r="AH68">
        <v>0</v>
      </c>
      <c r="AI68">
        <v>0</v>
      </c>
      <c r="AJ68">
        <v>0</v>
      </c>
      <c r="AK68">
        <v>0</v>
      </c>
      <c r="AL68">
        <v>0</v>
      </c>
      <c r="AM68">
        <v>0</v>
      </c>
      <c r="AN68">
        <v>0</v>
      </c>
      <c r="AO68">
        <v>0</v>
      </c>
      <c r="AP68">
        <v>0</v>
      </c>
      <c r="AQ68">
        <v>0</v>
      </c>
      <c r="AR68">
        <v>0</v>
      </c>
      <c r="AS68">
        <v>0</v>
      </c>
      <c r="AT68">
        <v>0</v>
      </c>
      <c r="AU68" t="s">
        <v>242</v>
      </c>
      <c r="AV68" t="s">
        <v>457</v>
      </c>
      <c r="AW68" t="s">
        <v>328</v>
      </c>
      <c r="AX68" t="s">
        <v>458</v>
      </c>
      <c r="AY68">
        <v>77087</v>
      </c>
      <c r="AZ68">
        <v>48201332800</v>
      </c>
      <c r="BA68" t="s">
        <v>329</v>
      </c>
      <c r="BB68" t="s">
        <v>330</v>
      </c>
      <c r="BC68">
        <v>54257</v>
      </c>
      <c r="BD68">
        <v>2892</v>
      </c>
      <c r="BE68" t="s">
        <v>407</v>
      </c>
      <c r="BF68" t="s">
        <v>407</v>
      </c>
      <c r="BG68" t="s">
        <v>407</v>
      </c>
    </row>
    <row r="69" spans="1:59" x14ac:dyDescent="0.3">
      <c r="A69">
        <v>229885</v>
      </c>
      <c r="B69">
        <v>17216248</v>
      </c>
      <c r="C69">
        <v>2019</v>
      </c>
      <c r="D69" s="62">
        <v>43681</v>
      </c>
      <c r="E69">
        <v>5</v>
      </c>
      <c r="F69" t="s">
        <v>408</v>
      </c>
      <c r="G69" t="s">
        <v>319</v>
      </c>
      <c r="H69" t="s">
        <v>453</v>
      </c>
      <c r="I69" t="s">
        <v>320</v>
      </c>
      <c r="J69">
        <v>29.68515481</v>
      </c>
      <c r="K69">
        <v>-95.296383109999994</v>
      </c>
      <c r="L69" t="s">
        <v>321</v>
      </c>
      <c r="M69" t="s">
        <v>431</v>
      </c>
      <c r="N69" t="s">
        <v>429</v>
      </c>
      <c r="O69" t="s">
        <v>445</v>
      </c>
      <c r="P69" t="s">
        <v>414</v>
      </c>
      <c r="Q69" t="s">
        <v>278</v>
      </c>
      <c r="R69" t="s">
        <v>487</v>
      </c>
      <c r="S69">
        <v>0</v>
      </c>
      <c r="T69">
        <v>0</v>
      </c>
      <c r="U69">
        <v>0</v>
      </c>
      <c r="V69">
        <v>0</v>
      </c>
      <c r="W69">
        <v>0</v>
      </c>
      <c r="X69">
        <v>1</v>
      </c>
      <c r="Y69">
        <v>0</v>
      </c>
      <c r="Z69">
        <v>0</v>
      </c>
      <c r="AA69">
        <v>0</v>
      </c>
      <c r="AB69">
        <v>0</v>
      </c>
      <c r="AC69">
        <v>0</v>
      </c>
      <c r="AD69">
        <v>1</v>
      </c>
      <c r="AE69">
        <v>0</v>
      </c>
      <c r="AF69">
        <v>0</v>
      </c>
      <c r="AG69">
        <v>0</v>
      </c>
      <c r="AH69">
        <v>0</v>
      </c>
      <c r="AI69">
        <v>0</v>
      </c>
      <c r="AJ69">
        <v>0</v>
      </c>
      <c r="AK69">
        <v>0</v>
      </c>
      <c r="AL69">
        <v>0</v>
      </c>
      <c r="AM69">
        <v>0</v>
      </c>
      <c r="AN69">
        <v>0</v>
      </c>
      <c r="AO69">
        <v>0</v>
      </c>
      <c r="AP69">
        <v>0</v>
      </c>
      <c r="AQ69">
        <v>0</v>
      </c>
      <c r="AR69">
        <v>0</v>
      </c>
      <c r="AS69">
        <v>0</v>
      </c>
      <c r="AT69">
        <v>0</v>
      </c>
      <c r="AU69" t="s">
        <v>242</v>
      </c>
      <c r="AV69" t="s">
        <v>457</v>
      </c>
      <c r="AW69" t="s">
        <v>328</v>
      </c>
      <c r="AX69" t="s">
        <v>458</v>
      </c>
      <c r="AY69">
        <v>77087</v>
      </c>
      <c r="AZ69">
        <v>48201332800</v>
      </c>
      <c r="BA69" t="s">
        <v>329</v>
      </c>
      <c r="BB69" t="s">
        <v>330</v>
      </c>
      <c r="BC69">
        <v>53817</v>
      </c>
      <c r="BD69">
        <v>2840</v>
      </c>
      <c r="BE69" t="s">
        <v>407</v>
      </c>
      <c r="BF69" t="s">
        <v>407</v>
      </c>
      <c r="BG69" t="s">
        <v>407</v>
      </c>
    </row>
    <row r="70" spans="1:59" x14ac:dyDescent="0.3">
      <c r="A70">
        <v>231690</v>
      </c>
      <c r="B70">
        <v>17224473</v>
      </c>
      <c r="C70">
        <v>2019</v>
      </c>
      <c r="D70" s="62">
        <v>43681</v>
      </c>
      <c r="E70">
        <v>14</v>
      </c>
      <c r="F70" t="s">
        <v>408</v>
      </c>
      <c r="G70" t="s">
        <v>319</v>
      </c>
      <c r="H70" t="s">
        <v>453</v>
      </c>
      <c r="I70" t="s">
        <v>411</v>
      </c>
      <c r="J70">
        <v>29.68515481</v>
      </c>
      <c r="K70">
        <v>-95.296383109999994</v>
      </c>
      <c r="L70" t="s">
        <v>420</v>
      </c>
      <c r="M70" t="s">
        <v>322</v>
      </c>
      <c r="N70" t="s">
        <v>429</v>
      </c>
      <c r="O70" t="s">
        <v>324</v>
      </c>
      <c r="P70" t="s">
        <v>414</v>
      </c>
      <c r="Q70" t="s">
        <v>332</v>
      </c>
      <c r="R70" t="s">
        <v>406</v>
      </c>
      <c r="S70">
        <v>0</v>
      </c>
      <c r="T70">
        <v>0</v>
      </c>
      <c r="U70">
        <v>0</v>
      </c>
      <c r="V70">
        <v>0</v>
      </c>
      <c r="W70">
        <v>0</v>
      </c>
      <c r="X70">
        <v>2</v>
      </c>
      <c r="Y70">
        <v>0</v>
      </c>
      <c r="Z70">
        <v>0</v>
      </c>
      <c r="AA70">
        <v>0</v>
      </c>
      <c r="AB70">
        <v>0</v>
      </c>
      <c r="AC70">
        <v>0</v>
      </c>
      <c r="AD70">
        <v>2</v>
      </c>
      <c r="AE70">
        <v>0</v>
      </c>
      <c r="AF70">
        <v>0</v>
      </c>
      <c r="AG70">
        <v>0</v>
      </c>
      <c r="AH70">
        <v>0</v>
      </c>
      <c r="AI70">
        <v>0</v>
      </c>
      <c r="AJ70">
        <v>0</v>
      </c>
      <c r="AK70">
        <v>0</v>
      </c>
      <c r="AL70">
        <v>0</v>
      </c>
      <c r="AM70">
        <v>0</v>
      </c>
      <c r="AN70">
        <v>0</v>
      </c>
      <c r="AO70">
        <v>0</v>
      </c>
      <c r="AP70">
        <v>0</v>
      </c>
      <c r="AQ70">
        <v>0</v>
      </c>
      <c r="AR70">
        <v>0</v>
      </c>
      <c r="AS70">
        <v>0</v>
      </c>
      <c r="AT70">
        <v>0</v>
      </c>
      <c r="AU70" t="s">
        <v>242</v>
      </c>
      <c r="AV70" t="s">
        <v>457</v>
      </c>
      <c r="AW70" t="s">
        <v>328</v>
      </c>
      <c r="AX70" t="s">
        <v>458</v>
      </c>
      <c r="AY70">
        <v>77087</v>
      </c>
      <c r="AZ70">
        <v>48201332800</v>
      </c>
      <c r="BA70" t="s">
        <v>329</v>
      </c>
      <c r="BB70" t="s">
        <v>330</v>
      </c>
      <c r="BC70">
        <v>53817</v>
      </c>
      <c r="BD70">
        <v>2840</v>
      </c>
      <c r="BE70" t="s">
        <v>407</v>
      </c>
      <c r="BF70" t="s">
        <v>407</v>
      </c>
      <c r="BG70" t="s">
        <v>407</v>
      </c>
    </row>
    <row r="71" spans="1:59" x14ac:dyDescent="0.3">
      <c r="A71">
        <v>231871</v>
      </c>
      <c r="B71">
        <v>17225066</v>
      </c>
      <c r="C71">
        <v>2019</v>
      </c>
      <c r="D71" s="62">
        <v>43687</v>
      </c>
      <c r="E71">
        <v>13</v>
      </c>
      <c r="F71" t="s">
        <v>436</v>
      </c>
      <c r="G71" t="s">
        <v>319</v>
      </c>
      <c r="H71" t="s">
        <v>453</v>
      </c>
      <c r="I71" t="s">
        <v>419</v>
      </c>
      <c r="J71">
        <v>29.67653099</v>
      </c>
      <c r="K71">
        <v>-95.290536799999998</v>
      </c>
      <c r="L71" t="s">
        <v>321</v>
      </c>
      <c r="M71" t="s">
        <v>322</v>
      </c>
      <c r="N71" t="s">
        <v>323</v>
      </c>
      <c r="O71" t="s">
        <v>324</v>
      </c>
      <c r="P71" t="s">
        <v>441</v>
      </c>
      <c r="Q71" t="s">
        <v>325</v>
      </c>
      <c r="R71" t="s">
        <v>412</v>
      </c>
      <c r="S71">
        <v>0</v>
      </c>
      <c r="T71">
        <v>1</v>
      </c>
      <c r="U71">
        <v>0</v>
      </c>
      <c r="V71">
        <v>0</v>
      </c>
      <c r="W71">
        <v>1</v>
      </c>
      <c r="X71">
        <v>2</v>
      </c>
      <c r="Y71">
        <v>0</v>
      </c>
      <c r="Z71">
        <v>0</v>
      </c>
      <c r="AA71">
        <v>1</v>
      </c>
      <c r="AB71">
        <v>0</v>
      </c>
      <c r="AC71">
        <v>0</v>
      </c>
      <c r="AD71">
        <v>2</v>
      </c>
      <c r="AE71">
        <v>1</v>
      </c>
      <c r="AF71">
        <v>0</v>
      </c>
      <c r="AG71">
        <v>0</v>
      </c>
      <c r="AH71">
        <v>0</v>
      </c>
      <c r="AI71">
        <v>0</v>
      </c>
      <c r="AJ71">
        <v>0</v>
      </c>
      <c r="AK71">
        <v>0</v>
      </c>
      <c r="AL71">
        <v>0</v>
      </c>
      <c r="AM71">
        <v>0</v>
      </c>
      <c r="AN71">
        <v>0</v>
      </c>
      <c r="AO71">
        <v>0</v>
      </c>
      <c r="AP71">
        <v>0</v>
      </c>
      <c r="AQ71">
        <v>0</v>
      </c>
      <c r="AR71">
        <v>0</v>
      </c>
      <c r="AS71">
        <v>0</v>
      </c>
      <c r="AT71">
        <v>0</v>
      </c>
      <c r="AU71" t="s">
        <v>242</v>
      </c>
      <c r="AV71" t="s">
        <v>327</v>
      </c>
      <c r="AW71" t="s">
        <v>328</v>
      </c>
      <c r="AX71" t="s">
        <v>458</v>
      </c>
      <c r="AY71">
        <v>77087</v>
      </c>
      <c r="AZ71">
        <v>48201332600</v>
      </c>
      <c r="BA71" t="s">
        <v>329</v>
      </c>
      <c r="BB71" t="s">
        <v>330</v>
      </c>
      <c r="BC71">
        <v>158757</v>
      </c>
      <c r="BD71">
        <v>2840</v>
      </c>
      <c r="BE71" t="s">
        <v>407</v>
      </c>
      <c r="BF71" t="s">
        <v>407</v>
      </c>
      <c r="BG71" t="s">
        <v>407</v>
      </c>
    </row>
    <row r="72" spans="1:59" x14ac:dyDescent="0.3">
      <c r="A72">
        <v>233553</v>
      </c>
      <c r="B72">
        <v>17232367</v>
      </c>
      <c r="C72">
        <v>2019</v>
      </c>
      <c r="D72" s="62">
        <v>43686</v>
      </c>
      <c r="E72">
        <v>16</v>
      </c>
      <c r="F72" t="s">
        <v>418</v>
      </c>
      <c r="G72" t="s">
        <v>319</v>
      </c>
      <c r="H72" t="s">
        <v>453</v>
      </c>
      <c r="I72" t="s">
        <v>427</v>
      </c>
      <c r="J72">
        <v>29.68721377</v>
      </c>
      <c r="K72">
        <v>-95.297647729999994</v>
      </c>
      <c r="L72" t="s">
        <v>321</v>
      </c>
      <c r="M72" t="s">
        <v>322</v>
      </c>
      <c r="N72" t="s">
        <v>323</v>
      </c>
      <c r="O72" t="s">
        <v>324</v>
      </c>
      <c r="P72" t="s">
        <v>283</v>
      </c>
      <c r="Q72" t="s">
        <v>332</v>
      </c>
      <c r="R72" t="s">
        <v>406</v>
      </c>
      <c r="S72">
        <v>0</v>
      </c>
      <c r="T72">
        <v>0</v>
      </c>
      <c r="U72">
        <v>0</v>
      </c>
      <c r="V72">
        <v>1</v>
      </c>
      <c r="W72">
        <v>1</v>
      </c>
      <c r="X72">
        <v>1</v>
      </c>
      <c r="Y72">
        <v>0</v>
      </c>
      <c r="Z72">
        <v>0</v>
      </c>
      <c r="AA72">
        <v>0</v>
      </c>
      <c r="AB72">
        <v>0</v>
      </c>
      <c r="AC72">
        <v>1</v>
      </c>
      <c r="AD72">
        <v>1</v>
      </c>
      <c r="AE72">
        <v>1</v>
      </c>
      <c r="AF72">
        <v>0</v>
      </c>
      <c r="AG72">
        <v>0</v>
      </c>
      <c r="AH72">
        <v>0</v>
      </c>
      <c r="AI72">
        <v>0</v>
      </c>
      <c r="AJ72">
        <v>0</v>
      </c>
      <c r="AK72">
        <v>0</v>
      </c>
      <c r="AL72">
        <v>0</v>
      </c>
      <c r="AM72">
        <v>0</v>
      </c>
      <c r="AN72">
        <v>0</v>
      </c>
      <c r="AO72">
        <v>0</v>
      </c>
      <c r="AP72">
        <v>0</v>
      </c>
      <c r="AQ72">
        <v>0</v>
      </c>
      <c r="AR72">
        <v>0</v>
      </c>
      <c r="AS72">
        <v>0</v>
      </c>
      <c r="AT72">
        <v>0</v>
      </c>
      <c r="AU72" t="s">
        <v>242</v>
      </c>
      <c r="AV72" t="s">
        <v>457</v>
      </c>
      <c r="AW72" t="s">
        <v>328</v>
      </c>
      <c r="AX72" t="s">
        <v>458</v>
      </c>
      <c r="AY72">
        <v>77087</v>
      </c>
      <c r="AZ72">
        <v>48201332800</v>
      </c>
      <c r="BA72" t="s">
        <v>329</v>
      </c>
      <c r="BB72" t="s">
        <v>330</v>
      </c>
      <c r="BC72">
        <v>53817</v>
      </c>
      <c r="BD72">
        <v>2892</v>
      </c>
      <c r="BE72" t="s">
        <v>407</v>
      </c>
      <c r="BF72" t="s">
        <v>407</v>
      </c>
      <c r="BG72" t="s">
        <v>407</v>
      </c>
    </row>
    <row r="73" spans="1:59" x14ac:dyDescent="0.3">
      <c r="A73">
        <v>238262</v>
      </c>
      <c r="B73">
        <v>17252832</v>
      </c>
      <c r="C73">
        <v>2019</v>
      </c>
      <c r="D73" s="62">
        <v>43703</v>
      </c>
      <c r="E73">
        <v>15</v>
      </c>
      <c r="F73" t="s">
        <v>417</v>
      </c>
      <c r="G73" t="s">
        <v>319</v>
      </c>
      <c r="H73" t="s">
        <v>453</v>
      </c>
      <c r="I73" t="s">
        <v>437</v>
      </c>
      <c r="J73">
        <v>29.676704820000001</v>
      </c>
      <c r="K73">
        <v>-95.290663109999997</v>
      </c>
      <c r="L73" t="s">
        <v>321</v>
      </c>
      <c r="M73" t="s">
        <v>322</v>
      </c>
      <c r="N73" t="s">
        <v>323</v>
      </c>
      <c r="O73" t="s">
        <v>324</v>
      </c>
      <c r="P73" t="s">
        <v>410</v>
      </c>
      <c r="Q73" t="s">
        <v>331</v>
      </c>
      <c r="R73" t="s">
        <v>326</v>
      </c>
      <c r="S73">
        <v>0</v>
      </c>
      <c r="T73">
        <v>0</v>
      </c>
      <c r="U73">
        <v>1</v>
      </c>
      <c r="V73">
        <v>1</v>
      </c>
      <c r="W73">
        <v>2</v>
      </c>
      <c r="X73">
        <v>0</v>
      </c>
      <c r="Y73">
        <v>0</v>
      </c>
      <c r="Z73">
        <v>0</v>
      </c>
      <c r="AA73">
        <v>0</v>
      </c>
      <c r="AB73">
        <v>1</v>
      </c>
      <c r="AC73">
        <v>1</v>
      </c>
      <c r="AD73">
        <v>0</v>
      </c>
      <c r="AE73">
        <v>2</v>
      </c>
      <c r="AF73">
        <v>0</v>
      </c>
      <c r="AG73">
        <v>0</v>
      </c>
      <c r="AH73">
        <v>0</v>
      </c>
      <c r="AI73">
        <v>0</v>
      </c>
      <c r="AJ73">
        <v>0</v>
      </c>
      <c r="AK73">
        <v>0</v>
      </c>
      <c r="AL73">
        <v>0</v>
      </c>
      <c r="AM73">
        <v>0</v>
      </c>
      <c r="AN73">
        <v>0</v>
      </c>
      <c r="AO73">
        <v>0</v>
      </c>
      <c r="AP73">
        <v>0</v>
      </c>
      <c r="AQ73">
        <v>0</v>
      </c>
      <c r="AR73">
        <v>0</v>
      </c>
      <c r="AS73">
        <v>0</v>
      </c>
      <c r="AT73">
        <v>0</v>
      </c>
      <c r="AU73" t="s">
        <v>242</v>
      </c>
      <c r="AV73" t="s">
        <v>327</v>
      </c>
      <c r="AW73" t="s">
        <v>328</v>
      </c>
      <c r="AX73" t="s">
        <v>458</v>
      </c>
      <c r="AY73">
        <v>77087</v>
      </c>
      <c r="AZ73">
        <v>48201332600</v>
      </c>
      <c r="BA73" t="s">
        <v>329</v>
      </c>
      <c r="BB73" t="s">
        <v>330</v>
      </c>
      <c r="BC73">
        <v>158757</v>
      </c>
      <c r="BD73">
        <v>2840</v>
      </c>
      <c r="BE73" t="s">
        <v>407</v>
      </c>
      <c r="BF73" t="s">
        <v>407</v>
      </c>
      <c r="BG73" t="s">
        <v>407</v>
      </c>
    </row>
    <row r="74" spans="1:59" x14ac:dyDescent="0.3">
      <c r="A74">
        <v>239142</v>
      </c>
      <c r="B74">
        <v>17257022</v>
      </c>
      <c r="C74">
        <v>2019</v>
      </c>
      <c r="D74" s="62">
        <v>43701</v>
      </c>
      <c r="E74">
        <v>21</v>
      </c>
      <c r="F74" t="s">
        <v>436</v>
      </c>
      <c r="G74" t="s">
        <v>319</v>
      </c>
      <c r="H74" t="s">
        <v>453</v>
      </c>
      <c r="I74" t="s">
        <v>427</v>
      </c>
      <c r="J74">
        <v>29.676704820000001</v>
      </c>
      <c r="K74">
        <v>-95.290663109999997</v>
      </c>
      <c r="L74" t="s">
        <v>321</v>
      </c>
      <c r="M74" t="s">
        <v>431</v>
      </c>
      <c r="N74" t="s">
        <v>323</v>
      </c>
      <c r="O74" t="s">
        <v>324</v>
      </c>
      <c r="P74" t="s">
        <v>414</v>
      </c>
      <c r="Q74" t="s">
        <v>331</v>
      </c>
      <c r="R74" t="s">
        <v>326</v>
      </c>
      <c r="S74">
        <v>0</v>
      </c>
      <c r="T74">
        <v>0</v>
      </c>
      <c r="U74">
        <v>0</v>
      </c>
      <c r="V74">
        <v>0</v>
      </c>
      <c r="W74">
        <v>0</v>
      </c>
      <c r="X74">
        <v>2</v>
      </c>
      <c r="Y74">
        <v>1</v>
      </c>
      <c r="Z74">
        <v>0</v>
      </c>
      <c r="AA74">
        <v>0</v>
      </c>
      <c r="AB74">
        <v>0</v>
      </c>
      <c r="AC74">
        <v>0</v>
      </c>
      <c r="AD74">
        <v>2</v>
      </c>
      <c r="AE74">
        <v>0</v>
      </c>
      <c r="AF74">
        <v>1</v>
      </c>
      <c r="AG74">
        <v>0</v>
      </c>
      <c r="AH74">
        <v>0</v>
      </c>
      <c r="AI74">
        <v>0</v>
      </c>
      <c r="AJ74">
        <v>0</v>
      </c>
      <c r="AK74">
        <v>0</v>
      </c>
      <c r="AL74">
        <v>0</v>
      </c>
      <c r="AM74">
        <v>0</v>
      </c>
      <c r="AN74">
        <v>0</v>
      </c>
      <c r="AO74">
        <v>0</v>
      </c>
      <c r="AP74">
        <v>0</v>
      </c>
      <c r="AQ74">
        <v>0</v>
      </c>
      <c r="AR74">
        <v>0</v>
      </c>
      <c r="AS74">
        <v>0</v>
      </c>
      <c r="AT74">
        <v>0</v>
      </c>
      <c r="AU74" t="s">
        <v>242</v>
      </c>
      <c r="AV74" t="s">
        <v>327</v>
      </c>
      <c r="AW74" t="s">
        <v>328</v>
      </c>
      <c r="AX74" t="s">
        <v>458</v>
      </c>
      <c r="AY74">
        <v>77087</v>
      </c>
      <c r="AZ74">
        <v>48201332600</v>
      </c>
      <c r="BA74" t="s">
        <v>329</v>
      </c>
      <c r="BB74" t="s">
        <v>330</v>
      </c>
      <c r="BC74">
        <v>158757</v>
      </c>
      <c r="BD74">
        <v>2840</v>
      </c>
      <c r="BE74" t="s">
        <v>407</v>
      </c>
      <c r="BF74" t="s">
        <v>407</v>
      </c>
      <c r="BG74" t="s">
        <v>407</v>
      </c>
    </row>
    <row r="75" spans="1:59" x14ac:dyDescent="0.3">
      <c r="A75">
        <v>239805</v>
      </c>
      <c r="B75">
        <v>17260123</v>
      </c>
      <c r="C75">
        <v>2019</v>
      </c>
      <c r="D75" s="62">
        <v>43705</v>
      </c>
      <c r="E75">
        <v>18</v>
      </c>
      <c r="F75" t="s">
        <v>405</v>
      </c>
      <c r="G75" t="s">
        <v>319</v>
      </c>
      <c r="H75" t="s">
        <v>453</v>
      </c>
      <c r="I75" t="s">
        <v>437</v>
      </c>
      <c r="J75">
        <v>29.692669120000001</v>
      </c>
      <c r="K75">
        <v>-95.298992100000007</v>
      </c>
      <c r="L75" t="s">
        <v>430</v>
      </c>
      <c r="M75" t="s">
        <v>322</v>
      </c>
      <c r="N75" t="s">
        <v>323</v>
      </c>
      <c r="O75" t="s">
        <v>324</v>
      </c>
      <c r="P75" t="s">
        <v>283</v>
      </c>
      <c r="Q75" t="s">
        <v>332</v>
      </c>
      <c r="R75" t="s">
        <v>406</v>
      </c>
      <c r="S75">
        <v>0</v>
      </c>
      <c r="T75">
        <v>0</v>
      </c>
      <c r="U75">
        <v>0</v>
      </c>
      <c r="V75">
        <v>1</v>
      </c>
      <c r="W75">
        <v>1</v>
      </c>
      <c r="X75">
        <v>1</v>
      </c>
      <c r="Y75">
        <v>0</v>
      </c>
      <c r="Z75">
        <v>0</v>
      </c>
      <c r="AA75">
        <v>0</v>
      </c>
      <c r="AB75">
        <v>0</v>
      </c>
      <c r="AC75">
        <v>1</v>
      </c>
      <c r="AD75">
        <v>1</v>
      </c>
      <c r="AE75">
        <v>1</v>
      </c>
      <c r="AF75">
        <v>0</v>
      </c>
      <c r="AG75">
        <v>0</v>
      </c>
      <c r="AH75">
        <v>0</v>
      </c>
      <c r="AI75">
        <v>0</v>
      </c>
      <c r="AJ75">
        <v>0</v>
      </c>
      <c r="AK75">
        <v>0</v>
      </c>
      <c r="AL75">
        <v>0</v>
      </c>
      <c r="AM75">
        <v>0</v>
      </c>
      <c r="AN75">
        <v>0</v>
      </c>
      <c r="AO75">
        <v>0</v>
      </c>
      <c r="AP75">
        <v>0</v>
      </c>
      <c r="AQ75">
        <v>0</v>
      </c>
      <c r="AR75">
        <v>0</v>
      </c>
      <c r="AS75">
        <v>0</v>
      </c>
      <c r="AT75">
        <v>0</v>
      </c>
      <c r="AU75" t="s">
        <v>242</v>
      </c>
      <c r="AV75" t="s">
        <v>457</v>
      </c>
      <c r="AW75" t="s">
        <v>328</v>
      </c>
      <c r="AX75" t="s">
        <v>458</v>
      </c>
      <c r="AY75">
        <v>77087</v>
      </c>
      <c r="AZ75">
        <v>48201332800</v>
      </c>
      <c r="BA75" t="s">
        <v>329</v>
      </c>
      <c r="BB75" t="s">
        <v>330</v>
      </c>
      <c r="BC75">
        <v>54037</v>
      </c>
      <c r="BD75">
        <v>2892</v>
      </c>
      <c r="BE75" t="s">
        <v>407</v>
      </c>
      <c r="BF75" t="s">
        <v>407</v>
      </c>
      <c r="BG75" t="s">
        <v>407</v>
      </c>
    </row>
    <row r="76" spans="1:59" x14ac:dyDescent="0.3">
      <c r="A76">
        <v>240097</v>
      </c>
      <c r="B76">
        <v>17261481</v>
      </c>
      <c r="C76">
        <v>2019</v>
      </c>
      <c r="D76" s="62">
        <v>43707</v>
      </c>
      <c r="E76">
        <v>17</v>
      </c>
      <c r="F76" t="s">
        <v>418</v>
      </c>
      <c r="G76" t="s">
        <v>319</v>
      </c>
      <c r="H76" t="s">
        <v>453</v>
      </c>
      <c r="I76" t="s">
        <v>419</v>
      </c>
      <c r="J76">
        <v>29.676704820000001</v>
      </c>
      <c r="K76">
        <v>-95.290663109999997</v>
      </c>
      <c r="L76" t="s">
        <v>321</v>
      </c>
      <c r="M76" t="s">
        <v>322</v>
      </c>
      <c r="N76" t="s">
        <v>448</v>
      </c>
      <c r="O76" t="s">
        <v>324</v>
      </c>
      <c r="P76" t="s">
        <v>414</v>
      </c>
      <c r="Q76" t="s">
        <v>331</v>
      </c>
      <c r="R76" t="s">
        <v>472</v>
      </c>
      <c r="S76">
        <v>0</v>
      </c>
      <c r="T76">
        <v>0</v>
      </c>
      <c r="U76">
        <v>0</v>
      </c>
      <c r="V76">
        <v>0</v>
      </c>
      <c r="W76">
        <v>0</v>
      </c>
      <c r="X76">
        <v>2</v>
      </c>
      <c r="Y76">
        <v>0</v>
      </c>
      <c r="Z76">
        <v>0</v>
      </c>
      <c r="AA76">
        <v>0</v>
      </c>
      <c r="AB76">
        <v>0</v>
      </c>
      <c r="AC76">
        <v>0</v>
      </c>
      <c r="AD76">
        <v>2</v>
      </c>
      <c r="AE76">
        <v>0</v>
      </c>
      <c r="AF76">
        <v>0</v>
      </c>
      <c r="AG76">
        <v>0</v>
      </c>
      <c r="AH76">
        <v>0</v>
      </c>
      <c r="AI76">
        <v>0</v>
      </c>
      <c r="AJ76">
        <v>0</v>
      </c>
      <c r="AK76">
        <v>0</v>
      </c>
      <c r="AL76">
        <v>0</v>
      </c>
      <c r="AM76">
        <v>0</v>
      </c>
      <c r="AN76">
        <v>0</v>
      </c>
      <c r="AO76">
        <v>0</v>
      </c>
      <c r="AP76">
        <v>0</v>
      </c>
      <c r="AQ76">
        <v>0</v>
      </c>
      <c r="AR76">
        <v>0</v>
      </c>
      <c r="AS76">
        <v>0</v>
      </c>
      <c r="AT76">
        <v>0</v>
      </c>
      <c r="AU76" t="s">
        <v>242</v>
      </c>
      <c r="AV76" t="s">
        <v>327</v>
      </c>
      <c r="AW76" t="s">
        <v>328</v>
      </c>
      <c r="AX76" t="s">
        <v>458</v>
      </c>
      <c r="AY76">
        <v>77087</v>
      </c>
      <c r="AZ76">
        <v>48201332600</v>
      </c>
      <c r="BA76" t="s">
        <v>329</v>
      </c>
      <c r="BB76" t="s">
        <v>330</v>
      </c>
      <c r="BC76">
        <v>158757</v>
      </c>
      <c r="BD76">
        <v>2840</v>
      </c>
      <c r="BE76" t="s">
        <v>407</v>
      </c>
      <c r="BF76" t="s">
        <v>407</v>
      </c>
      <c r="BG76" t="s">
        <v>407</v>
      </c>
    </row>
    <row r="77" spans="1:59" x14ac:dyDescent="0.3">
      <c r="A77">
        <v>241554</v>
      </c>
      <c r="B77">
        <v>17268347</v>
      </c>
      <c r="C77">
        <v>2019</v>
      </c>
      <c r="D77" s="62">
        <v>43702</v>
      </c>
      <c r="E77">
        <v>7</v>
      </c>
      <c r="F77" t="s">
        <v>408</v>
      </c>
      <c r="G77" t="s">
        <v>319</v>
      </c>
      <c r="H77" t="s">
        <v>467</v>
      </c>
      <c r="I77" t="s">
        <v>427</v>
      </c>
      <c r="J77">
        <v>29.69129264</v>
      </c>
      <c r="K77">
        <v>-95.29870846</v>
      </c>
      <c r="L77" t="s">
        <v>321</v>
      </c>
      <c r="M77" t="s">
        <v>431</v>
      </c>
      <c r="N77" t="s">
        <v>422</v>
      </c>
      <c r="O77" t="s">
        <v>462</v>
      </c>
      <c r="P77" t="s">
        <v>414</v>
      </c>
      <c r="Q77" t="s">
        <v>325</v>
      </c>
      <c r="R77" t="s">
        <v>415</v>
      </c>
      <c r="S77">
        <v>0</v>
      </c>
      <c r="T77">
        <v>0</v>
      </c>
      <c r="U77">
        <v>0</v>
      </c>
      <c r="V77">
        <v>0</v>
      </c>
      <c r="W77">
        <v>0</v>
      </c>
      <c r="X77">
        <v>1</v>
      </c>
      <c r="Y77">
        <v>0</v>
      </c>
      <c r="Z77">
        <v>0</v>
      </c>
      <c r="AA77">
        <v>0</v>
      </c>
      <c r="AB77">
        <v>0</v>
      </c>
      <c r="AC77">
        <v>0</v>
      </c>
      <c r="AD77">
        <v>1</v>
      </c>
      <c r="AE77">
        <v>0</v>
      </c>
      <c r="AF77">
        <v>0</v>
      </c>
      <c r="AG77">
        <v>0</v>
      </c>
      <c r="AH77">
        <v>0</v>
      </c>
      <c r="AI77">
        <v>0</v>
      </c>
      <c r="AJ77">
        <v>0</v>
      </c>
      <c r="AK77">
        <v>0</v>
      </c>
      <c r="AL77">
        <v>0</v>
      </c>
      <c r="AM77">
        <v>0</v>
      </c>
      <c r="AN77">
        <v>0</v>
      </c>
      <c r="AO77">
        <v>0</v>
      </c>
      <c r="AP77">
        <v>0</v>
      </c>
      <c r="AQ77">
        <v>0</v>
      </c>
      <c r="AR77">
        <v>0</v>
      </c>
      <c r="AS77">
        <v>0</v>
      </c>
      <c r="AT77">
        <v>0</v>
      </c>
      <c r="AU77" t="s">
        <v>242</v>
      </c>
      <c r="AV77" t="s">
        <v>457</v>
      </c>
      <c r="AW77" t="s">
        <v>328</v>
      </c>
      <c r="AX77" t="s">
        <v>458</v>
      </c>
      <c r="AY77">
        <v>77087</v>
      </c>
      <c r="AZ77">
        <v>48201332900</v>
      </c>
      <c r="BA77" t="s">
        <v>329</v>
      </c>
      <c r="BB77" t="s">
        <v>330</v>
      </c>
      <c r="BC77">
        <v>54037</v>
      </c>
      <c r="BD77">
        <v>2892</v>
      </c>
      <c r="BE77" t="s">
        <v>407</v>
      </c>
      <c r="BF77" t="s">
        <v>407</v>
      </c>
      <c r="BG77" t="s">
        <v>407</v>
      </c>
    </row>
    <row r="78" spans="1:59" x14ac:dyDescent="0.3">
      <c r="A78">
        <v>241719</v>
      </c>
      <c r="B78">
        <v>17268888</v>
      </c>
      <c r="C78">
        <v>2019</v>
      </c>
      <c r="D78" s="62">
        <v>43712</v>
      </c>
      <c r="E78">
        <v>13</v>
      </c>
      <c r="F78" t="s">
        <v>405</v>
      </c>
      <c r="G78" t="s">
        <v>319</v>
      </c>
      <c r="H78" t="s">
        <v>453</v>
      </c>
      <c r="I78" t="s">
        <v>419</v>
      </c>
      <c r="J78">
        <v>29.69034778</v>
      </c>
      <c r="K78">
        <v>-95.298760029999997</v>
      </c>
      <c r="L78" t="s">
        <v>321</v>
      </c>
      <c r="M78" t="s">
        <v>322</v>
      </c>
      <c r="N78" t="s">
        <v>323</v>
      </c>
      <c r="O78" t="s">
        <v>324</v>
      </c>
      <c r="P78" t="s">
        <v>410</v>
      </c>
      <c r="Q78" t="s">
        <v>325</v>
      </c>
      <c r="R78" t="s">
        <v>326</v>
      </c>
      <c r="S78">
        <v>0</v>
      </c>
      <c r="T78">
        <v>0</v>
      </c>
      <c r="U78">
        <v>1</v>
      </c>
      <c r="V78">
        <v>0</v>
      </c>
      <c r="W78">
        <v>1</v>
      </c>
      <c r="X78">
        <v>1</v>
      </c>
      <c r="Y78">
        <v>0</v>
      </c>
      <c r="Z78">
        <v>0</v>
      </c>
      <c r="AA78">
        <v>0</v>
      </c>
      <c r="AB78">
        <v>1</v>
      </c>
      <c r="AC78">
        <v>0</v>
      </c>
      <c r="AD78">
        <v>1</v>
      </c>
      <c r="AE78">
        <v>1</v>
      </c>
      <c r="AF78">
        <v>0</v>
      </c>
      <c r="AG78">
        <v>0</v>
      </c>
      <c r="AH78">
        <v>0</v>
      </c>
      <c r="AI78">
        <v>0</v>
      </c>
      <c r="AJ78">
        <v>0</v>
      </c>
      <c r="AK78">
        <v>0</v>
      </c>
      <c r="AL78">
        <v>0</v>
      </c>
      <c r="AM78">
        <v>0</v>
      </c>
      <c r="AN78">
        <v>0</v>
      </c>
      <c r="AO78">
        <v>0</v>
      </c>
      <c r="AP78">
        <v>0</v>
      </c>
      <c r="AQ78">
        <v>0</v>
      </c>
      <c r="AR78">
        <v>0</v>
      </c>
      <c r="AS78">
        <v>0</v>
      </c>
      <c r="AT78">
        <v>0</v>
      </c>
      <c r="AU78" t="s">
        <v>242</v>
      </c>
      <c r="AV78" t="s">
        <v>457</v>
      </c>
      <c r="AW78" t="s">
        <v>328</v>
      </c>
      <c r="AX78" t="s">
        <v>458</v>
      </c>
      <c r="AY78">
        <v>77087</v>
      </c>
      <c r="AZ78">
        <v>48201332900</v>
      </c>
      <c r="BA78" t="s">
        <v>329</v>
      </c>
      <c r="BB78" t="s">
        <v>330</v>
      </c>
      <c r="BC78">
        <v>54037</v>
      </c>
      <c r="BD78">
        <v>2892</v>
      </c>
      <c r="BE78" t="s">
        <v>407</v>
      </c>
      <c r="BF78" t="s">
        <v>407</v>
      </c>
      <c r="BG78" t="s">
        <v>407</v>
      </c>
    </row>
    <row r="79" spans="1:59" x14ac:dyDescent="0.3">
      <c r="A79">
        <v>242986</v>
      </c>
      <c r="B79">
        <v>17274008</v>
      </c>
      <c r="C79">
        <v>2019</v>
      </c>
      <c r="D79" s="62">
        <v>43712</v>
      </c>
      <c r="E79">
        <v>17</v>
      </c>
      <c r="F79" t="s">
        <v>405</v>
      </c>
      <c r="G79" t="s">
        <v>319</v>
      </c>
      <c r="H79" t="s">
        <v>453</v>
      </c>
      <c r="I79" t="s">
        <v>419</v>
      </c>
      <c r="J79">
        <v>29.676704820000001</v>
      </c>
      <c r="K79">
        <v>-95.290663109999997</v>
      </c>
      <c r="L79" t="s">
        <v>321</v>
      </c>
      <c r="M79" t="s">
        <v>322</v>
      </c>
      <c r="N79" t="s">
        <v>323</v>
      </c>
      <c r="O79" t="s">
        <v>324</v>
      </c>
      <c r="P79" t="s">
        <v>283</v>
      </c>
      <c r="Q79" t="s">
        <v>331</v>
      </c>
      <c r="R79" t="s">
        <v>472</v>
      </c>
      <c r="S79">
        <v>0</v>
      </c>
      <c r="T79">
        <v>0</v>
      </c>
      <c r="U79">
        <v>0</v>
      </c>
      <c r="V79">
        <v>1</v>
      </c>
      <c r="W79">
        <v>1</v>
      </c>
      <c r="X79">
        <v>1</v>
      </c>
      <c r="Y79">
        <v>0</v>
      </c>
      <c r="Z79">
        <v>0</v>
      </c>
      <c r="AA79">
        <v>0</v>
      </c>
      <c r="AB79">
        <v>0</v>
      </c>
      <c r="AC79">
        <v>1</v>
      </c>
      <c r="AD79">
        <v>1</v>
      </c>
      <c r="AE79">
        <v>1</v>
      </c>
      <c r="AF79">
        <v>0</v>
      </c>
      <c r="AG79">
        <v>0</v>
      </c>
      <c r="AH79">
        <v>0</v>
      </c>
      <c r="AI79">
        <v>0</v>
      </c>
      <c r="AJ79">
        <v>0</v>
      </c>
      <c r="AK79">
        <v>0</v>
      </c>
      <c r="AL79">
        <v>0</v>
      </c>
      <c r="AM79">
        <v>0</v>
      </c>
      <c r="AN79">
        <v>0</v>
      </c>
      <c r="AO79">
        <v>0</v>
      </c>
      <c r="AP79">
        <v>0</v>
      </c>
      <c r="AQ79">
        <v>0</v>
      </c>
      <c r="AR79">
        <v>0</v>
      </c>
      <c r="AS79">
        <v>0</v>
      </c>
      <c r="AT79">
        <v>0</v>
      </c>
      <c r="AU79" t="s">
        <v>242</v>
      </c>
      <c r="AV79" t="s">
        <v>327</v>
      </c>
      <c r="AW79" t="s">
        <v>328</v>
      </c>
      <c r="AX79" t="s">
        <v>458</v>
      </c>
      <c r="AY79">
        <v>77087</v>
      </c>
      <c r="AZ79">
        <v>48201332600</v>
      </c>
      <c r="BA79" t="s">
        <v>329</v>
      </c>
      <c r="BB79" t="s">
        <v>330</v>
      </c>
      <c r="BC79">
        <v>158757</v>
      </c>
      <c r="BD79">
        <v>2840</v>
      </c>
      <c r="BE79" t="s">
        <v>407</v>
      </c>
      <c r="BF79" t="s">
        <v>407</v>
      </c>
      <c r="BG79" t="s">
        <v>407</v>
      </c>
    </row>
    <row r="80" spans="1:59" x14ac:dyDescent="0.3">
      <c r="A80">
        <v>245895</v>
      </c>
      <c r="B80">
        <v>17287396</v>
      </c>
      <c r="C80">
        <v>2019</v>
      </c>
      <c r="D80" s="62">
        <v>43721</v>
      </c>
      <c r="E80">
        <v>18</v>
      </c>
      <c r="F80" t="s">
        <v>418</v>
      </c>
      <c r="G80" t="s">
        <v>319</v>
      </c>
      <c r="H80" t="s">
        <v>473</v>
      </c>
      <c r="I80" t="s">
        <v>411</v>
      </c>
      <c r="J80">
        <v>29.67510352</v>
      </c>
      <c r="K80">
        <v>-95.289242439999995</v>
      </c>
      <c r="L80" t="s">
        <v>321</v>
      </c>
      <c r="M80" t="s">
        <v>322</v>
      </c>
      <c r="N80" t="s">
        <v>323</v>
      </c>
      <c r="O80" t="s">
        <v>324</v>
      </c>
      <c r="P80" t="s">
        <v>283</v>
      </c>
      <c r="Q80" t="s">
        <v>332</v>
      </c>
      <c r="R80" t="s">
        <v>416</v>
      </c>
      <c r="S80">
        <v>0</v>
      </c>
      <c r="T80">
        <v>0</v>
      </c>
      <c r="U80">
        <v>0</v>
      </c>
      <c r="V80">
        <v>1</v>
      </c>
      <c r="W80">
        <v>1</v>
      </c>
      <c r="X80">
        <v>4</v>
      </c>
      <c r="Y80">
        <v>0</v>
      </c>
      <c r="Z80">
        <v>0</v>
      </c>
      <c r="AA80">
        <v>0</v>
      </c>
      <c r="AB80">
        <v>0</v>
      </c>
      <c r="AC80">
        <v>1</v>
      </c>
      <c r="AD80">
        <v>4</v>
      </c>
      <c r="AE80">
        <v>1</v>
      </c>
      <c r="AF80">
        <v>0</v>
      </c>
      <c r="AG80">
        <v>0</v>
      </c>
      <c r="AH80">
        <v>0</v>
      </c>
      <c r="AI80">
        <v>0</v>
      </c>
      <c r="AJ80">
        <v>0</v>
      </c>
      <c r="AK80">
        <v>0</v>
      </c>
      <c r="AL80">
        <v>0</v>
      </c>
      <c r="AM80">
        <v>0</v>
      </c>
      <c r="AN80">
        <v>0</v>
      </c>
      <c r="AO80">
        <v>0</v>
      </c>
      <c r="AP80">
        <v>0</v>
      </c>
      <c r="AQ80">
        <v>0</v>
      </c>
      <c r="AR80">
        <v>0</v>
      </c>
      <c r="AS80">
        <v>0</v>
      </c>
      <c r="AT80">
        <v>0</v>
      </c>
      <c r="AU80" t="s">
        <v>242</v>
      </c>
      <c r="AV80" t="s">
        <v>457</v>
      </c>
      <c r="AW80" t="s">
        <v>328</v>
      </c>
      <c r="AX80" t="s">
        <v>458</v>
      </c>
      <c r="AY80">
        <v>77087</v>
      </c>
      <c r="AZ80">
        <v>48201333000</v>
      </c>
      <c r="BA80" t="s">
        <v>329</v>
      </c>
      <c r="BB80" t="s">
        <v>330</v>
      </c>
      <c r="BC80">
        <v>53378</v>
      </c>
      <c r="BD80">
        <v>2840</v>
      </c>
      <c r="BE80" t="s">
        <v>407</v>
      </c>
      <c r="BF80" t="s">
        <v>407</v>
      </c>
      <c r="BG80" t="s">
        <v>407</v>
      </c>
    </row>
    <row r="81" spans="1:59" x14ac:dyDescent="0.3">
      <c r="A81">
        <v>256608</v>
      </c>
      <c r="B81">
        <v>17335835</v>
      </c>
      <c r="C81">
        <v>2019</v>
      </c>
      <c r="D81" s="62">
        <v>43747</v>
      </c>
      <c r="E81">
        <v>19</v>
      </c>
      <c r="F81" t="s">
        <v>405</v>
      </c>
      <c r="G81" t="s">
        <v>319</v>
      </c>
      <c r="H81" t="s">
        <v>453</v>
      </c>
      <c r="I81" t="s">
        <v>419</v>
      </c>
      <c r="J81">
        <v>29.676704820000001</v>
      </c>
      <c r="K81">
        <v>-95.290663109999997</v>
      </c>
      <c r="L81" t="s">
        <v>321</v>
      </c>
      <c r="M81" t="s">
        <v>431</v>
      </c>
      <c r="N81" t="s">
        <v>448</v>
      </c>
      <c r="O81" t="s">
        <v>324</v>
      </c>
      <c r="P81" t="s">
        <v>410</v>
      </c>
      <c r="Q81" t="s">
        <v>331</v>
      </c>
      <c r="R81" t="s">
        <v>472</v>
      </c>
      <c r="S81">
        <v>0</v>
      </c>
      <c r="T81">
        <v>0</v>
      </c>
      <c r="U81">
        <v>1</v>
      </c>
      <c r="V81">
        <v>0</v>
      </c>
      <c r="W81">
        <v>1</v>
      </c>
      <c r="X81">
        <v>1</v>
      </c>
      <c r="Y81">
        <v>0</v>
      </c>
      <c r="Z81">
        <v>0</v>
      </c>
      <c r="AA81">
        <v>0</v>
      </c>
      <c r="AB81">
        <v>1</v>
      </c>
      <c r="AC81">
        <v>0</v>
      </c>
      <c r="AD81">
        <v>1</v>
      </c>
      <c r="AE81">
        <v>1</v>
      </c>
      <c r="AF81">
        <v>0</v>
      </c>
      <c r="AG81">
        <v>0</v>
      </c>
      <c r="AH81">
        <v>0</v>
      </c>
      <c r="AI81">
        <v>0</v>
      </c>
      <c r="AJ81">
        <v>0</v>
      </c>
      <c r="AK81">
        <v>0</v>
      </c>
      <c r="AL81">
        <v>0</v>
      </c>
      <c r="AM81">
        <v>0</v>
      </c>
      <c r="AN81">
        <v>0</v>
      </c>
      <c r="AO81">
        <v>0</v>
      </c>
      <c r="AP81">
        <v>0</v>
      </c>
      <c r="AQ81">
        <v>0</v>
      </c>
      <c r="AR81">
        <v>0</v>
      </c>
      <c r="AS81">
        <v>0</v>
      </c>
      <c r="AT81">
        <v>0</v>
      </c>
      <c r="AU81" t="s">
        <v>242</v>
      </c>
      <c r="AV81" t="s">
        <v>327</v>
      </c>
      <c r="AW81" t="s">
        <v>328</v>
      </c>
      <c r="AX81" t="s">
        <v>458</v>
      </c>
      <c r="AY81">
        <v>77087</v>
      </c>
      <c r="AZ81">
        <v>48201332600</v>
      </c>
      <c r="BA81" t="s">
        <v>329</v>
      </c>
      <c r="BB81" t="s">
        <v>330</v>
      </c>
      <c r="BC81">
        <v>158757</v>
      </c>
      <c r="BD81">
        <v>2840</v>
      </c>
      <c r="BE81" t="s">
        <v>407</v>
      </c>
      <c r="BF81" t="s">
        <v>407</v>
      </c>
      <c r="BG81" t="s">
        <v>407</v>
      </c>
    </row>
    <row r="82" spans="1:59" x14ac:dyDescent="0.3">
      <c r="A82">
        <v>257547</v>
      </c>
      <c r="B82">
        <v>17339591</v>
      </c>
      <c r="C82">
        <v>2019</v>
      </c>
      <c r="D82" s="62">
        <v>43737</v>
      </c>
      <c r="E82">
        <v>20</v>
      </c>
      <c r="F82" t="s">
        <v>408</v>
      </c>
      <c r="G82" t="s">
        <v>319</v>
      </c>
      <c r="H82" t="s">
        <v>453</v>
      </c>
      <c r="I82" t="s">
        <v>427</v>
      </c>
      <c r="J82">
        <v>29.680414819999999</v>
      </c>
      <c r="K82">
        <v>-95.293353109999998</v>
      </c>
      <c r="L82" t="s">
        <v>428</v>
      </c>
      <c r="M82" t="s">
        <v>440</v>
      </c>
      <c r="N82" t="s">
        <v>422</v>
      </c>
      <c r="O82" t="s">
        <v>324</v>
      </c>
      <c r="P82" t="s">
        <v>414</v>
      </c>
      <c r="Q82" t="s">
        <v>331</v>
      </c>
      <c r="R82" t="s">
        <v>406</v>
      </c>
      <c r="S82">
        <v>0</v>
      </c>
      <c r="T82">
        <v>0</v>
      </c>
      <c r="U82">
        <v>0</v>
      </c>
      <c r="V82">
        <v>0</v>
      </c>
      <c r="W82">
        <v>0</v>
      </c>
      <c r="X82">
        <v>2</v>
      </c>
      <c r="Y82">
        <v>1</v>
      </c>
      <c r="Z82">
        <v>0</v>
      </c>
      <c r="AA82">
        <v>0</v>
      </c>
      <c r="AB82">
        <v>0</v>
      </c>
      <c r="AC82">
        <v>0</v>
      </c>
      <c r="AD82">
        <v>2</v>
      </c>
      <c r="AE82">
        <v>0</v>
      </c>
      <c r="AF82">
        <v>1</v>
      </c>
      <c r="AG82">
        <v>0</v>
      </c>
      <c r="AH82">
        <v>0</v>
      </c>
      <c r="AI82">
        <v>0</v>
      </c>
      <c r="AJ82">
        <v>0</v>
      </c>
      <c r="AK82">
        <v>0</v>
      </c>
      <c r="AL82">
        <v>0</v>
      </c>
      <c r="AM82">
        <v>0</v>
      </c>
      <c r="AN82">
        <v>0</v>
      </c>
      <c r="AO82">
        <v>0</v>
      </c>
      <c r="AP82">
        <v>0</v>
      </c>
      <c r="AQ82">
        <v>0</v>
      </c>
      <c r="AR82">
        <v>0</v>
      </c>
      <c r="AS82">
        <v>0</v>
      </c>
      <c r="AT82">
        <v>0</v>
      </c>
      <c r="AU82" t="s">
        <v>242</v>
      </c>
      <c r="AV82" t="s">
        <v>327</v>
      </c>
      <c r="AW82" t="s">
        <v>328</v>
      </c>
      <c r="AX82" t="s">
        <v>458</v>
      </c>
      <c r="AY82">
        <v>77087</v>
      </c>
      <c r="AZ82">
        <v>48201332600</v>
      </c>
      <c r="BA82" t="s">
        <v>329</v>
      </c>
      <c r="BB82" t="s">
        <v>330</v>
      </c>
      <c r="BC82">
        <v>158977</v>
      </c>
      <c r="BD82">
        <v>2840</v>
      </c>
      <c r="BE82" t="s">
        <v>407</v>
      </c>
      <c r="BF82" t="s">
        <v>407</v>
      </c>
      <c r="BG82" t="s">
        <v>407</v>
      </c>
    </row>
    <row r="83" spans="1:59" x14ac:dyDescent="0.3">
      <c r="A83">
        <v>260249</v>
      </c>
      <c r="B83">
        <v>17351503</v>
      </c>
      <c r="C83">
        <v>2019</v>
      </c>
      <c r="D83" s="62">
        <v>43747</v>
      </c>
      <c r="E83">
        <v>12</v>
      </c>
      <c r="F83" t="s">
        <v>405</v>
      </c>
      <c r="G83" t="s">
        <v>319</v>
      </c>
      <c r="H83" t="s">
        <v>453</v>
      </c>
      <c r="I83" t="s">
        <v>427</v>
      </c>
      <c r="J83">
        <v>29.6860848</v>
      </c>
      <c r="K83">
        <v>-95.296923100000001</v>
      </c>
      <c r="L83" t="s">
        <v>321</v>
      </c>
      <c r="M83" t="s">
        <v>322</v>
      </c>
      <c r="N83" t="s">
        <v>323</v>
      </c>
      <c r="O83" t="s">
        <v>324</v>
      </c>
      <c r="P83" t="s">
        <v>410</v>
      </c>
      <c r="Q83" t="s">
        <v>278</v>
      </c>
      <c r="R83" t="s">
        <v>406</v>
      </c>
      <c r="S83">
        <v>0</v>
      </c>
      <c r="T83">
        <v>0</v>
      </c>
      <c r="U83">
        <v>1</v>
      </c>
      <c r="V83">
        <v>0</v>
      </c>
      <c r="W83">
        <v>1</v>
      </c>
      <c r="X83">
        <v>1</v>
      </c>
      <c r="Y83">
        <v>0</v>
      </c>
      <c r="Z83">
        <v>0</v>
      </c>
      <c r="AA83">
        <v>0</v>
      </c>
      <c r="AB83">
        <v>1</v>
      </c>
      <c r="AC83">
        <v>0</v>
      </c>
      <c r="AD83">
        <v>1</v>
      </c>
      <c r="AE83">
        <v>1</v>
      </c>
      <c r="AF83">
        <v>0</v>
      </c>
      <c r="AG83">
        <v>0</v>
      </c>
      <c r="AH83">
        <v>0</v>
      </c>
      <c r="AI83">
        <v>0</v>
      </c>
      <c r="AJ83">
        <v>0</v>
      </c>
      <c r="AK83">
        <v>0</v>
      </c>
      <c r="AL83">
        <v>0</v>
      </c>
      <c r="AM83">
        <v>0</v>
      </c>
      <c r="AN83">
        <v>0</v>
      </c>
      <c r="AO83">
        <v>0</v>
      </c>
      <c r="AP83">
        <v>0</v>
      </c>
      <c r="AQ83">
        <v>0</v>
      </c>
      <c r="AR83">
        <v>0</v>
      </c>
      <c r="AS83">
        <v>0</v>
      </c>
      <c r="AT83">
        <v>0</v>
      </c>
      <c r="AU83" t="s">
        <v>242</v>
      </c>
      <c r="AV83" t="s">
        <v>457</v>
      </c>
      <c r="AW83" t="s">
        <v>328</v>
      </c>
      <c r="AX83" t="s">
        <v>458</v>
      </c>
      <c r="AY83">
        <v>77087</v>
      </c>
      <c r="AZ83">
        <v>48201332800</v>
      </c>
      <c r="BA83" t="s">
        <v>329</v>
      </c>
      <c r="BB83" t="s">
        <v>330</v>
      </c>
      <c r="BC83">
        <v>53817</v>
      </c>
      <c r="BD83">
        <v>2840</v>
      </c>
      <c r="BE83" t="s">
        <v>407</v>
      </c>
      <c r="BF83" t="s">
        <v>407</v>
      </c>
      <c r="BG83" t="s">
        <v>407</v>
      </c>
    </row>
    <row r="84" spans="1:59" x14ac:dyDescent="0.3">
      <c r="A84">
        <v>261044</v>
      </c>
      <c r="B84">
        <v>17355110</v>
      </c>
      <c r="C84">
        <v>2019</v>
      </c>
      <c r="D84" s="62">
        <v>43758</v>
      </c>
      <c r="E84">
        <v>8</v>
      </c>
      <c r="F84" t="s">
        <v>408</v>
      </c>
      <c r="G84" t="s">
        <v>319</v>
      </c>
      <c r="H84" t="s">
        <v>453</v>
      </c>
      <c r="I84" t="s">
        <v>427</v>
      </c>
      <c r="J84">
        <v>29.69045741</v>
      </c>
      <c r="K84">
        <v>-95.298762490000001</v>
      </c>
      <c r="L84" t="s">
        <v>430</v>
      </c>
      <c r="M84" t="s">
        <v>322</v>
      </c>
      <c r="N84" t="s">
        <v>323</v>
      </c>
      <c r="O84" t="s">
        <v>476</v>
      </c>
      <c r="P84" t="s">
        <v>410</v>
      </c>
      <c r="Q84" t="s">
        <v>332</v>
      </c>
      <c r="R84" t="s">
        <v>471</v>
      </c>
      <c r="S84">
        <v>0</v>
      </c>
      <c r="T84">
        <v>0</v>
      </c>
      <c r="U84">
        <v>1</v>
      </c>
      <c r="V84">
        <v>0</v>
      </c>
      <c r="W84">
        <v>1</v>
      </c>
      <c r="X84">
        <v>0</v>
      </c>
      <c r="Y84">
        <v>0</v>
      </c>
      <c r="Z84">
        <v>0</v>
      </c>
      <c r="AA84">
        <v>0</v>
      </c>
      <c r="AB84">
        <v>1</v>
      </c>
      <c r="AC84">
        <v>0</v>
      </c>
      <c r="AD84">
        <v>0</v>
      </c>
      <c r="AE84">
        <v>1</v>
      </c>
      <c r="AF84">
        <v>0</v>
      </c>
      <c r="AG84">
        <v>0</v>
      </c>
      <c r="AH84">
        <v>0</v>
      </c>
      <c r="AI84">
        <v>0</v>
      </c>
      <c r="AJ84">
        <v>0</v>
      </c>
      <c r="AK84">
        <v>0</v>
      </c>
      <c r="AL84">
        <v>0</v>
      </c>
      <c r="AM84">
        <v>0</v>
      </c>
      <c r="AN84">
        <v>0</v>
      </c>
      <c r="AO84">
        <v>0</v>
      </c>
      <c r="AP84">
        <v>0</v>
      </c>
      <c r="AQ84">
        <v>0</v>
      </c>
      <c r="AR84">
        <v>0</v>
      </c>
      <c r="AS84">
        <v>0</v>
      </c>
      <c r="AT84">
        <v>0</v>
      </c>
      <c r="AU84" t="s">
        <v>242</v>
      </c>
      <c r="AV84" t="s">
        <v>457</v>
      </c>
      <c r="AW84" t="s">
        <v>328</v>
      </c>
      <c r="AX84" t="s">
        <v>458</v>
      </c>
      <c r="AY84">
        <v>77087</v>
      </c>
      <c r="AZ84">
        <v>48201332900</v>
      </c>
      <c r="BA84" t="s">
        <v>329</v>
      </c>
      <c r="BB84" t="s">
        <v>330</v>
      </c>
      <c r="BC84">
        <v>54037</v>
      </c>
      <c r="BD84">
        <v>2892</v>
      </c>
      <c r="BE84" t="s">
        <v>407</v>
      </c>
      <c r="BF84" t="s">
        <v>407</v>
      </c>
      <c r="BG84" t="s">
        <v>407</v>
      </c>
    </row>
    <row r="85" spans="1:59" x14ac:dyDescent="0.3">
      <c r="A85">
        <v>268379</v>
      </c>
      <c r="B85">
        <v>17388013</v>
      </c>
      <c r="C85">
        <v>2019</v>
      </c>
      <c r="D85" s="62">
        <v>43773</v>
      </c>
      <c r="E85">
        <v>21</v>
      </c>
      <c r="F85" t="s">
        <v>417</v>
      </c>
      <c r="G85" t="s">
        <v>319</v>
      </c>
      <c r="H85" t="s">
        <v>453</v>
      </c>
      <c r="I85" t="s">
        <v>427</v>
      </c>
      <c r="J85">
        <v>29.680414819999999</v>
      </c>
      <c r="K85">
        <v>-95.293353109999998</v>
      </c>
      <c r="L85" t="s">
        <v>321</v>
      </c>
      <c r="M85" t="s">
        <v>431</v>
      </c>
      <c r="N85" t="s">
        <v>448</v>
      </c>
      <c r="O85" t="s">
        <v>324</v>
      </c>
      <c r="P85" t="s">
        <v>414</v>
      </c>
      <c r="Q85" t="s">
        <v>331</v>
      </c>
      <c r="R85" t="s">
        <v>472</v>
      </c>
      <c r="S85">
        <v>0</v>
      </c>
      <c r="T85">
        <v>0</v>
      </c>
      <c r="U85">
        <v>0</v>
      </c>
      <c r="V85">
        <v>0</v>
      </c>
      <c r="W85">
        <v>0</v>
      </c>
      <c r="X85">
        <v>3</v>
      </c>
      <c r="Y85">
        <v>0</v>
      </c>
      <c r="Z85">
        <v>0</v>
      </c>
      <c r="AA85">
        <v>0</v>
      </c>
      <c r="AB85">
        <v>0</v>
      </c>
      <c r="AC85">
        <v>0</v>
      </c>
      <c r="AD85">
        <v>3</v>
      </c>
      <c r="AE85">
        <v>0</v>
      </c>
      <c r="AF85">
        <v>0</v>
      </c>
      <c r="AG85">
        <v>0</v>
      </c>
      <c r="AH85">
        <v>0</v>
      </c>
      <c r="AI85">
        <v>0</v>
      </c>
      <c r="AJ85">
        <v>0</v>
      </c>
      <c r="AK85">
        <v>0</v>
      </c>
      <c r="AL85">
        <v>0</v>
      </c>
      <c r="AM85">
        <v>0</v>
      </c>
      <c r="AN85">
        <v>0</v>
      </c>
      <c r="AO85">
        <v>0</v>
      </c>
      <c r="AP85">
        <v>0</v>
      </c>
      <c r="AQ85">
        <v>0</v>
      </c>
      <c r="AR85">
        <v>0</v>
      </c>
      <c r="AS85">
        <v>0</v>
      </c>
      <c r="AT85">
        <v>0</v>
      </c>
      <c r="AU85" t="s">
        <v>242</v>
      </c>
      <c r="AV85" t="s">
        <v>327</v>
      </c>
      <c r="AW85" t="s">
        <v>328</v>
      </c>
      <c r="AX85" t="s">
        <v>458</v>
      </c>
      <c r="AY85">
        <v>77087</v>
      </c>
      <c r="AZ85">
        <v>48201332600</v>
      </c>
      <c r="BA85" t="s">
        <v>329</v>
      </c>
      <c r="BB85" t="s">
        <v>330</v>
      </c>
      <c r="BC85">
        <v>158977</v>
      </c>
      <c r="BD85">
        <v>2840</v>
      </c>
      <c r="BE85" t="s">
        <v>407</v>
      </c>
      <c r="BF85" t="s">
        <v>407</v>
      </c>
      <c r="BG85" t="s">
        <v>407</v>
      </c>
    </row>
    <row r="86" spans="1:59" x14ac:dyDescent="0.3">
      <c r="A86">
        <v>273031</v>
      </c>
      <c r="B86">
        <v>17408049</v>
      </c>
      <c r="C86">
        <v>2019</v>
      </c>
      <c r="D86" s="62">
        <v>43783</v>
      </c>
      <c r="E86">
        <v>7</v>
      </c>
      <c r="F86" t="s">
        <v>425</v>
      </c>
      <c r="G86" t="s">
        <v>319</v>
      </c>
      <c r="H86" t="s">
        <v>453</v>
      </c>
      <c r="I86" t="s">
        <v>437</v>
      </c>
      <c r="J86">
        <v>29.688157319999998</v>
      </c>
      <c r="K86">
        <v>-95.298235000000005</v>
      </c>
      <c r="L86" t="s">
        <v>430</v>
      </c>
      <c r="M86" t="s">
        <v>322</v>
      </c>
      <c r="N86" t="s">
        <v>323</v>
      </c>
      <c r="O86" t="s">
        <v>324</v>
      </c>
      <c r="P86" t="s">
        <v>414</v>
      </c>
      <c r="Q86" t="s">
        <v>332</v>
      </c>
      <c r="R86" t="s">
        <v>426</v>
      </c>
      <c r="S86">
        <v>0</v>
      </c>
      <c r="T86">
        <v>0</v>
      </c>
      <c r="U86">
        <v>0</v>
      </c>
      <c r="V86">
        <v>0</v>
      </c>
      <c r="W86">
        <v>0</v>
      </c>
      <c r="X86">
        <v>2</v>
      </c>
      <c r="Y86">
        <v>2</v>
      </c>
      <c r="Z86">
        <v>0</v>
      </c>
      <c r="AA86">
        <v>0</v>
      </c>
      <c r="AB86">
        <v>0</v>
      </c>
      <c r="AC86">
        <v>0</v>
      </c>
      <c r="AD86">
        <v>2</v>
      </c>
      <c r="AE86">
        <v>0</v>
      </c>
      <c r="AF86">
        <v>2</v>
      </c>
      <c r="AG86">
        <v>0</v>
      </c>
      <c r="AH86">
        <v>0</v>
      </c>
      <c r="AI86">
        <v>0</v>
      </c>
      <c r="AJ86">
        <v>0</v>
      </c>
      <c r="AK86">
        <v>0</v>
      </c>
      <c r="AL86">
        <v>0</v>
      </c>
      <c r="AM86">
        <v>0</v>
      </c>
      <c r="AN86">
        <v>0</v>
      </c>
      <c r="AO86">
        <v>0</v>
      </c>
      <c r="AP86">
        <v>0</v>
      </c>
      <c r="AQ86">
        <v>0</v>
      </c>
      <c r="AR86">
        <v>0</v>
      </c>
      <c r="AS86">
        <v>0</v>
      </c>
      <c r="AT86">
        <v>0</v>
      </c>
      <c r="AU86" t="s">
        <v>242</v>
      </c>
      <c r="AV86" t="s">
        <v>457</v>
      </c>
      <c r="AW86" t="s">
        <v>328</v>
      </c>
      <c r="AX86" t="s">
        <v>458</v>
      </c>
      <c r="AY86">
        <v>77087</v>
      </c>
      <c r="AZ86">
        <v>48201332900</v>
      </c>
      <c r="BA86" t="s">
        <v>329</v>
      </c>
      <c r="BB86" t="s">
        <v>330</v>
      </c>
      <c r="BC86">
        <v>54037</v>
      </c>
      <c r="BD86">
        <v>2892</v>
      </c>
      <c r="BE86" t="s">
        <v>407</v>
      </c>
      <c r="BF86" t="s">
        <v>407</v>
      </c>
      <c r="BG86" t="s">
        <v>407</v>
      </c>
    </row>
    <row r="87" spans="1:59" x14ac:dyDescent="0.3">
      <c r="A87">
        <v>275615</v>
      </c>
      <c r="B87">
        <v>17420463</v>
      </c>
      <c r="C87">
        <v>2019</v>
      </c>
      <c r="D87" s="62">
        <v>43783</v>
      </c>
      <c r="E87">
        <v>13</v>
      </c>
      <c r="F87" t="s">
        <v>425</v>
      </c>
      <c r="G87" t="s">
        <v>319</v>
      </c>
      <c r="H87" t="s">
        <v>473</v>
      </c>
      <c r="I87" t="s">
        <v>437</v>
      </c>
      <c r="J87">
        <v>29.67510352</v>
      </c>
      <c r="K87">
        <v>-95.289242439999995</v>
      </c>
      <c r="L87" t="s">
        <v>321</v>
      </c>
      <c r="M87" t="s">
        <v>322</v>
      </c>
      <c r="N87" t="s">
        <v>323</v>
      </c>
      <c r="O87" t="s">
        <v>324</v>
      </c>
      <c r="P87" t="s">
        <v>414</v>
      </c>
      <c r="Q87" t="s">
        <v>332</v>
      </c>
      <c r="R87" t="s">
        <v>426</v>
      </c>
      <c r="S87">
        <v>0</v>
      </c>
      <c r="T87">
        <v>0</v>
      </c>
      <c r="U87">
        <v>0</v>
      </c>
      <c r="V87">
        <v>0</v>
      </c>
      <c r="W87">
        <v>0</v>
      </c>
      <c r="X87">
        <v>2</v>
      </c>
      <c r="Y87">
        <v>1</v>
      </c>
      <c r="Z87">
        <v>0</v>
      </c>
      <c r="AA87">
        <v>0</v>
      </c>
      <c r="AB87">
        <v>0</v>
      </c>
      <c r="AC87">
        <v>0</v>
      </c>
      <c r="AD87">
        <v>2</v>
      </c>
      <c r="AE87">
        <v>0</v>
      </c>
      <c r="AF87">
        <v>1</v>
      </c>
      <c r="AG87">
        <v>0</v>
      </c>
      <c r="AH87">
        <v>0</v>
      </c>
      <c r="AI87">
        <v>0</v>
      </c>
      <c r="AJ87">
        <v>0</v>
      </c>
      <c r="AK87">
        <v>0</v>
      </c>
      <c r="AL87">
        <v>0</v>
      </c>
      <c r="AM87">
        <v>0</v>
      </c>
      <c r="AN87">
        <v>0</v>
      </c>
      <c r="AO87">
        <v>0</v>
      </c>
      <c r="AP87">
        <v>0</v>
      </c>
      <c r="AQ87">
        <v>0</v>
      </c>
      <c r="AR87">
        <v>0</v>
      </c>
      <c r="AS87">
        <v>0</v>
      </c>
      <c r="AT87">
        <v>0</v>
      </c>
      <c r="AU87" t="s">
        <v>242</v>
      </c>
      <c r="AV87" t="s">
        <v>457</v>
      </c>
      <c r="AW87" t="s">
        <v>328</v>
      </c>
      <c r="AX87" t="s">
        <v>458</v>
      </c>
      <c r="AY87">
        <v>77087</v>
      </c>
      <c r="AZ87">
        <v>48201333000</v>
      </c>
      <c r="BA87" t="s">
        <v>329</v>
      </c>
      <c r="BB87" t="s">
        <v>330</v>
      </c>
      <c r="BC87">
        <v>53378</v>
      </c>
      <c r="BD87">
        <v>2840</v>
      </c>
      <c r="BE87" t="s">
        <v>407</v>
      </c>
      <c r="BF87" t="s">
        <v>407</v>
      </c>
      <c r="BG87" t="s">
        <v>407</v>
      </c>
    </row>
    <row r="88" spans="1:59" x14ac:dyDescent="0.3">
      <c r="A88">
        <v>279390</v>
      </c>
      <c r="B88">
        <v>17436518</v>
      </c>
      <c r="C88">
        <v>2019</v>
      </c>
      <c r="D88" s="62">
        <v>43799</v>
      </c>
      <c r="E88">
        <v>18</v>
      </c>
      <c r="F88" t="s">
        <v>436</v>
      </c>
      <c r="G88" t="s">
        <v>319</v>
      </c>
      <c r="H88" t="s">
        <v>453</v>
      </c>
      <c r="I88" t="s">
        <v>419</v>
      </c>
      <c r="J88">
        <v>29.68515481</v>
      </c>
      <c r="K88">
        <v>-95.296383109999994</v>
      </c>
      <c r="L88" t="s">
        <v>321</v>
      </c>
      <c r="M88" t="s">
        <v>431</v>
      </c>
      <c r="N88" t="s">
        <v>429</v>
      </c>
      <c r="O88" t="s">
        <v>324</v>
      </c>
      <c r="P88" t="s">
        <v>283</v>
      </c>
      <c r="Q88" t="s">
        <v>331</v>
      </c>
      <c r="R88" t="s">
        <v>433</v>
      </c>
      <c r="S88">
        <v>0</v>
      </c>
      <c r="T88">
        <v>0</v>
      </c>
      <c r="U88">
        <v>0</v>
      </c>
      <c r="V88">
        <v>1</v>
      </c>
      <c r="W88">
        <v>1</v>
      </c>
      <c r="X88">
        <v>1</v>
      </c>
      <c r="Y88">
        <v>1</v>
      </c>
      <c r="Z88">
        <v>0</v>
      </c>
      <c r="AA88">
        <v>0</v>
      </c>
      <c r="AB88">
        <v>0</v>
      </c>
      <c r="AC88">
        <v>1</v>
      </c>
      <c r="AD88">
        <v>1</v>
      </c>
      <c r="AE88">
        <v>1</v>
      </c>
      <c r="AF88">
        <v>1</v>
      </c>
      <c r="AG88">
        <v>0</v>
      </c>
      <c r="AH88">
        <v>0</v>
      </c>
      <c r="AI88">
        <v>0</v>
      </c>
      <c r="AJ88">
        <v>0</v>
      </c>
      <c r="AK88">
        <v>0</v>
      </c>
      <c r="AL88">
        <v>0</v>
      </c>
      <c r="AM88">
        <v>0</v>
      </c>
      <c r="AN88">
        <v>0</v>
      </c>
      <c r="AO88">
        <v>0</v>
      </c>
      <c r="AP88">
        <v>0</v>
      </c>
      <c r="AQ88">
        <v>0</v>
      </c>
      <c r="AR88">
        <v>0</v>
      </c>
      <c r="AS88">
        <v>0</v>
      </c>
      <c r="AT88">
        <v>0</v>
      </c>
      <c r="AU88" t="s">
        <v>242</v>
      </c>
      <c r="AV88" t="s">
        <v>457</v>
      </c>
      <c r="AW88" t="s">
        <v>328</v>
      </c>
      <c r="AX88" t="s">
        <v>458</v>
      </c>
      <c r="AY88">
        <v>77087</v>
      </c>
      <c r="AZ88">
        <v>48201332800</v>
      </c>
      <c r="BA88" t="s">
        <v>329</v>
      </c>
      <c r="BB88" t="s">
        <v>330</v>
      </c>
      <c r="BC88">
        <v>53817</v>
      </c>
      <c r="BD88">
        <v>2840</v>
      </c>
      <c r="BE88" t="s">
        <v>407</v>
      </c>
      <c r="BF88" t="s">
        <v>407</v>
      </c>
      <c r="BG88" t="s">
        <v>407</v>
      </c>
    </row>
    <row r="89" spans="1:59" x14ac:dyDescent="0.3">
      <c r="A89">
        <v>280533</v>
      </c>
      <c r="B89">
        <v>17441500</v>
      </c>
      <c r="C89">
        <v>2019</v>
      </c>
      <c r="D89" s="62">
        <v>43803</v>
      </c>
      <c r="E89">
        <v>17</v>
      </c>
      <c r="F89" t="s">
        <v>405</v>
      </c>
      <c r="G89" t="s">
        <v>319</v>
      </c>
      <c r="H89" t="s">
        <v>453</v>
      </c>
      <c r="I89" t="s">
        <v>427</v>
      </c>
      <c r="J89">
        <v>29.695344810000002</v>
      </c>
      <c r="K89">
        <v>-95.300293109999998</v>
      </c>
      <c r="L89" t="s">
        <v>321</v>
      </c>
      <c r="M89" t="s">
        <v>322</v>
      </c>
      <c r="N89" t="s">
        <v>323</v>
      </c>
      <c r="O89" t="s">
        <v>324</v>
      </c>
      <c r="P89" t="s">
        <v>414</v>
      </c>
      <c r="Q89" t="s">
        <v>331</v>
      </c>
      <c r="R89" t="s">
        <v>439</v>
      </c>
      <c r="S89">
        <v>0</v>
      </c>
      <c r="T89">
        <v>0</v>
      </c>
      <c r="U89">
        <v>0</v>
      </c>
      <c r="V89">
        <v>0</v>
      </c>
      <c r="W89">
        <v>0</v>
      </c>
      <c r="X89">
        <v>3</v>
      </c>
      <c r="Y89">
        <v>0</v>
      </c>
      <c r="Z89">
        <v>0</v>
      </c>
      <c r="AA89">
        <v>0</v>
      </c>
      <c r="AB89">
        <v>0</v>
      </c>
      <c r="AC89">
        <v>0</v>
      </c>
      <c r="AD89">
        <v>3</v>
      </c>
      <c r="AE89">
        <v>0</v>
      </c>
      <c r="AF89">
        <v>0</v>
      </c>
      <c r="AG89">
        <v>0</v>
      </c>
      <c r="AH89">
        <v>0</v>
      </c>
      <c r="AI89">
        <v>0</v>
      </c>
      <c r="AJ89">
        <v>0</v>
      </c>
      <c r="AK89">
        <v>0</v>
      </c>
      <c r="AL89">
        <v>0</v>
      </c>
      <c r="AM89">
        <v>0</v>
      </c>
      <c r="AN89">
        <v>0</v>
      </c>
      <c r="AO89">
        <v>0</v>
      </c>
      <c r="AP89">
        <v>0</v>
      </c>
      <c r="AQ89">
        <v>0</v>
      </c>
      <c r="AR89">
        <v>0</v>
      </c>
      <c r="AS89">
        <v>0</v>
      </c>
      <c r="AT89">
        <v>0</v>
      </c>
      <c r="AU89" t="s">
        <v>242</v>
      </c>
      <c r="AV89" t="s">
        <v>457</v>
      </c>
      <c r="AW89" t="s">
        <v>328</v>
      </c>
      <c r="AX89" t="s">
        <v>458</v>
      </c>
      <c r="AY89">
        <v>77087</v>
      </c>
      <c r="AZ89">
        <v>48201332800</v>
      </c>
      <c r="BA89" t="s">
        <v>329</v>
      </c>
      <c r="BB89" t="s">
        <v>330</v>
      </c>
      <c r="BC89">
        <v>54257</v>
      </c>
      <c r="BD89">
        <v>2892</v>
      </c>
      <c r="BE89" t="s">
        <v>407</v>
      </c>
      <c r="BF89" t="s">
        <v>407</v>
      </c>
      <c r="BG89" t="s">
        <v>407</v>
      </c>
    </row>
    <row r="90" spans="1:59" x14ac:dyDescent="0.3">
      <c r="A90">
        <v>282757</v>
      </c>
      <c r="B90">
        <v>17452089</v>
      </c>
      <c r="C90">
        <v>2019</v>
      </c>
      <c r="D90" s="62">
        <v>43808</v>
      </c>
      <c r="E90">
        <v>18</v>
      </c>
      <c r="F90" t="s">
        <v>417</v>
      </c>
      <c r="G90" t="s">
        <v>319</v>
      </c>
      <c r="H90" t="s">
        <v>473</v>
      </c>
      <c r="I90" t="s">
        <v>427</v>
      </c>
      <c r="J90">
        <v>29.675325000000001</v>
      </c>
      <c r="K90">
        <v>-95.289248450000002</v>
      </c>
      <c r="L90" t="s">
        <v>321</v>
      </c>
      <c r="M90" t="s">
        <v>431</v>
      </c>
      <c r="N90" t="s">
        <v>323</v>
      </c>
      <c r="O90" t="s">
        <v>324</v>
      </c>
      <c r="P90" t="s">
        <v>414</v>
      </c>
      <c r="Q90" t="s">
        <v>332</v>
      </c>
      <c r="R90" t="s">
        <v>434</v>
      </c>
      <c r="S90">
        <v>0</v>
      </c>
      <c r="T90">
        <v>0</v>
      </c>
      <c r="U90">
        <v>0</v>
      </c>
      <c r="V90">
        <v>0</v>
      </c>
      <c r="W90">
        <v>0</v>
      </c>
      <c r="X90">
        <v>2</v>
      </c>
      <c r="Y90">
        <v>0</v>
      </c>
      <c r="Z90">
        <v>0</v>
      </c>
      <c r="AA90">
        <v>0</v>
      </c>
      <c r="AB90">
        <v>0</v>
      </c>
      <c r="AC90">
        <v>0</v>
      </c>
      <c r="AD90">
        <v>2</v>
      </c>
      <c r="AE90">
        <v>0</v>
      </c>
      <c r="AF90">
        <v>0</v>
      </c>
      <c r="AG90">
        <v>0</v>
      </c>
      <c r="AH90">
        <v>0</v>
      </c>
      <c r="AI90">
        <v>0</v>
      </c>
      <c r="AJ90">
        <v>0</v>
      </c>
      <c r="AK90">
        <v>0</v>
      </c>
      <c r="AL90">
        <v>0</v>
      </c>
      <c r="AM90">
        <v>0</v>
      </c>
      <c r="AN90">
        <v>0</v>
      </c>
      <c r="AO90">
        <v>0</v>
      </c>
      <c r="AP90">
        <v>0</v>
      </c>
      <c r="AQ90">
        <v>0</v>
      </c>
      <c r="AR90">
        <v>0</v>
      </c>
      <c r="AS90">
        <v>0</v>
      </c>
      <c r="AT90">
        <v>0</v>
      </c>
      <c r="AU90" t="s">
        <v>242</v>
      </c>
      <c r="AV90" t="s">
        <v>457</v>
      </c>
      <c r="AW90" t="s">
        <v>328</v>
      </c>
      <c r="AX90" t="s">
        <v>458</v>
      </c>
      <c r="AY90">
        <v>77087</v>
      </c>
      <c r="AZ90">
        <v>48201333000</v>
      </c>
      <c r="BA90" t="s">
        <v>329</v>
      </c>
      <c r="BB90" t="s">
        <v>330</v>
      </c>
      <c r="BC90">
        <v>53378</v>
      </c>
      <c r="BD90">
        <v>2840</v>
      </c>
      <c r="BE90" t="s">
        <v>407</v>
      </c>
      <c r="BF90" t="s">
        <v>407</v>
      </c>
      <c r="BG90" t="s">
        <v>407</v>
      </c>
    </row>
    <row r="91" spans="1:59" x14ac:dyDescent="0.3">
      <c r="A91">
        <v>282873</v>
      </c>
      <c r="B91">
        <v>17452662</v>
      </c>
      <c r="C91">
        <v>2019</v>
      </c>
      <c r="D91" s="62">
        <v>43803</v>
      </c>
      <c r="E91">
        <v>14</v>
      </c>
      <c r="F91" t="s">
        <v>405</v>
      </c>
      <c r="G91" t="s">
        <v>319</v>
      </c>
      <c r="H91" t="s">
        <v>469</v>
      </c>
      <c r="I91" t="s">
        <v>411</v>
      </c>
      <c r="J91">
        <v>29.685157069999999</v>
      </c>
      <c r="K91">
        <v>-95.296045359999994</v>
      </c>
      <c r="L91" t="s">
        <v>321</v>
      </c>
      <c r="M91" t="s">
        <v>322</v>
      </c>
      <c r="N91" t="s">
        <v>429</v>
      </c>
      <c r="O91" t="s">
        <v>324</v>
      </c>
      <c r="P91" t="s">
        <v>414</v>
      </c>
      <c r="Q91" t="s">
        <v>325</v>
      </c>
      <c r="R91" t="s">
        <v>412</v>
      </c>
      <c r="S91">
        <v>0</v>
      </c>
      <c r="T91">
        <v>0</v>
      </c>
      <c r="U91">
        <v>0</v>
      </c>
      <c r="V91">
        <v>0</v>
      </c>
      <c r="W91">
        <v>0</v>
      </c>
      <c r="X91">
        <v>3</v>
      </c>
      <c r="Y91">
        <v>0</v>
      </c>
      <c r="Z91">
        <v>0</v>
      </c>
      <c r="AA91">
        <v>0</v>
      </c>
      <c r="AB91">
        <v>0</v>
      </c>
      <c r="AC91">
        <v>0</v>
      </c>
      <c r="AD91">
        <v>3</v>
      </c>
      <c r="AE91">
        <v>0</v>
      </c>
      <c r="AF91">
        <v>0</v>
      </c>
      <c r="AG91">
        <v>0</v>
      </c>
      <c r="AH91">
        <v>0</v>
      </c>
      <c r="AI91">
        <v>0</v>
      </c>
      <c r="AJ91">
        <v>0</v>
      </c>
      <c r="AK91">
        <v>0</v>
      </c>
      <c r="AL91">
        <v>0</v>
      </c>
      <c r="AM91">
        <v>0</v>
      </c>
      <c r="AN91">
        <v>0</v>
      </c>
      <c r="AO91">
        <v>0</v>
      </c>
      <c r="AP91">
        <v>0</v>
      </c>
      <c r="AQ91">
        <v>0</v>
      </c>
      <c r="AR91">
        <v>0</v>
      </c>
      <c r="AS91">
        <v>0</v>
      </c>
      <c r="AT91">
        <v>0</v>
      </c>
      <c r="AU91" t="s">
        <v>242</v>
      </c>
      <c r="AV91" t="s">
        <v>457</v>
      </c>
      <c r="AW91" t="s">
        <v>328</v>
      </c>
      <c r="AX91" t="s">
        <v>458</v>
      </c>
      <c r="AY91">
        <v>77087</v>
      </c>
      <c r="AZ91">
        <v>48201332900</v>
      </c>
      <c r="BA91" t="s">
        <v>329</v>
      </c>
      <c r="BB91" t="s">
        <v>330</v>
      </c>
      <c r="BC91">
        <v>53817</v>
      </c>
      <c r="BD91">
        <v>2840</v>
      </c>
      <c r="BE91" t="s">
        <v>407</v>
      </c>
      <c r="BF91" t="s">
        <v>407</v>
      </c>
      <c r="BG91" t="s">
        <v>407</v>
      </c>
    </row>
    <row r="92" spans="1:59" x14ac:dyDescent="0.3">
      <c r="A92">
        <v>283392</v>
      </c>
      <c r="B92">
        <v>17454828</v>
      </c>
      <c r="C92">
        <v>2019</v>
      </c>
      <c r="D92" s="62">
        <v>43810</v>
      </c>
      <c r="E92">
        <v>16</v>
      </c>
      <c r="F92" t="s">
        <v>405</v>
      </c>
      <c r="G92" t="s">
        <v>319</v>
      </c>
      <c r="H92" t="s">
        <v>453</v>
      </c>
      <c r="I92" t="s">
        <v>320</v>
      </c>
      <c r="J92">
        <v>29.692251219999999</v>
      </c>
      <c r="K92">
        <v>-95.298851110000001</v>
      </c>
      <c r="L92" t="s">
        <v>321</v>
      </c>
      <c r="M92" t="s">
        <v>322</v>
      </c>
      <c r="N92" t="s">
        <v>448</v>
      </c>
      <c r="O92" t="s">
        <v>324</v>
      </c>
      <c r="P92" t="s">
        <v>283</v>
      </c>
      <c r="Q92" t="s">
        <v>331</v>
      </c>
      <c r="R92" t="s">
        <v>472</v>
      </c>
      <c r="S92">
        <v>0</v>
      </c>
      <c r="T92">
        <v>0</v>
      </c>
      <c r="U92">
        <v>0</v>
      </c>
      <c r="V92">
        <v>2</v>
      </c>
      <c r="W92">
        <v>2</v>
      </c>
      <c r="X92">
        <v>0</v>
      </c>
      <c r="Y92">
        <v>0</v>
      </c>
      <c r="Z92">
        <v>0</v>
      </c>
      <c r="AA92">
        <v>0</v>
      </c>
      <c r="AB92">
        <v>0</v>
      </c>
      <c r="AC92">
        <v>2</v>
      </c>
      <c r="AD92">
        <v>0</v>
      </c>
      <c r="AE92">
        <v>2</v>
      </c>
      <c r="AF92">
        <v>0</v>
      </c>
      <c r="AG92">
        <v>0</v>
      </c>
      <c r="AH92">
        <v>0</v>
      </c>
      <c r="AI92">
        <v>0</v>
      </c>
      <c r="AJ92">
        <v>0</v>
      </c>
      <c r="AK92">
        <v>0</v>
      </c>
      <c r="AL92">
        <v>0</v>
      </c>
      <c r="AM92">
        <v>0</v>
      </c>
      <c r="AN92">
        <v>0</v>
      </c>
      <c r="AO92">
        <v>0</v>
      </c>
      <c r="AP92">
        <v>0</v>
      </c>
      <c r="AQ92">
        <v>0</v>
      </c>
      <c r="AR92">
        <v>0</v>
      </c>
      <c r="AS92">
        <v>0</v>
      </c>
      <c r="AT92">
        <v>0</v>
      </c>
      <c r="AU92" t="s">
        <v>242</v>
      </c>
      <c r="AV92" t="s">
        <v>457</v>
      </c>
      <c r="AW92" t="s">
        <v>328</v>
      </c>
      <c r="AX92" t="s">
        <v>458</v>
      </c>
      <c r="AY92">
        <v>77087</v>
      </c>
      <c r="AZ92">
        <v>48201332900</v>
      </c>
      <c r="BA92" t="s">
        <v>329</v>
      </c>
      <c r="BB92" t="s">
        <v>330</v>
      </c>
      <c r="BC92">
        <v>54037</v>
      </c>
      <c r="BD92">
        <v>2892</v>
      </c>
      <c r="BE92" t="s">
        <v>407</v>
      </c>
      <c r="BF92" t="s">
        <v>407</v>
      </c>
      <c r="BG92" t="s">
        <v>407</v>
      </c>
    </row>
    <row r="93" spans="1:59" x14ac:dyDescent="0.3">
      <c r="A93">
        <v>284553</v>
      </c>
      <c r="B93">
        <v>17459202</v>
      </c>
      <c r="C93">
        <v>2019</v>
      </c>
      <c r="D93" s="62">
        <v>43806</v>
      </c>
      <c r="E93">
        <v>3</v>
      </c>
      <c r="F93" t="s">
        <v>436</v>
      </c>
      <c r="G93" t="s">
        <v>319</v>
      </c>
      <c r="H93" t="s">
        <v>488</v>
      </c>
      <c r="I93" t="s">
        <v>320</v>
      </c>
      <c r="J93">
        <v>29.682873220000001</v>
      </c>
      <c r="K93">
        <v>-95.294772550000005</v>
      </c>
      <c r="L93" t="s">
        <v>321</v>
      </c>
      <c r="M93" t="s">
        <v>465</v>
      </c>
      <c r="N93" t="s">
        <v>323</v>
      </c>
      <c r="O93" t="s">
        <v>462</v>
      </c>
      <c r="P93" t="s">
        <v>428</v>
      </c>
      <c r="Q93" t="s">
        <v>332</v>
      </c>
      <c r="R93" t="s">
        <v>426</v>
      </c>
      <c r="S93">
        <v>0</v>
      </c>
      <c r="T93">
        <v>0</v>
      </c>
      <c r="U93">
        <v>0</v>
      </c>
      <c r="V93">
        <v>0</v>
      </c>
      <c r="W93">
        <v>0</v>
      </c>
      <c r="X93">
        <v>0</v>
      </c>
      <c r="Y93">
        <v>1</v>
      </c>
      <c r="Z93">
        <v>0</v>
      </c>
      <c r="AA93">
        <v>0</v>
      </c>
      <c r="AB93">
        <v>0</v>
      </c>
      <c r="AC93">
        <v>0</v>
      </c>
      <c r="AD93">
        <v>0</v>
      </c>
      <c r="AE93">
        <v>0</v>
      </c>
      <c r="AF93">
        <v>1</v>
      </c>
      <c r="AG93">
        <v>0</v>
      </c>
      <c r="AH93">
        <v>0</v>
      </c>
      <c r="AI93">
        <v>0</v>
      </c>
      <c r="AJ93">
        <v>0</v>
      </c>
      <c r="AK93">
        <v>0</v>
      </c>
      <c r="AL93">
        <v>0</v>
      </c>
      <c r="AM93">
        <v>0</v>
      </c>
      <c r="AN93">
        <v>0</v>
      </c>
      <c r="AO93">
        <v>0</v>
      </c>
      <c r="AP93">
        <v>0</v>
      </c>
      <c r="AQ93">
        <v>0</v>
      </c>
      <c r="AR93">
        <v>0</v>
      </c>
      <c r="AS93">
        <v>0</v>
      </c>
      <c r="AT93">
        <v>0</v>
      </c>
      <c r="AU93" t="s">
        <v>242</v>
      </c>
      <c r="AV93" t="s">
        <v>457</v>
      </c>
      <c r="AW93" t="s">
        <v>328</v>
      </c>
      <c r="AX93" t="s">
        <v>458</v>
      </c>
      <c r="AY93">
        <v>77087</v>
      </c>
      <c r="AZ93">
        <v>48201333000</v>
      </c>
      <c r="BA93" t="s">
        <v>329</v>
      </c>
      <c r="BB93" t="s">
        <v>330</v>
      </c>
      <c r="BC93">
        <v>158977</v>
      </c>
      <c r="BD93">
        <v>2840</v>
      </c>
      <c r="BE93" t="s">
        <v>407</v>
      </c>
      <c r="BF93" t="s">
        <v>407</v>
      </c>
      <c r="BG93" t="s">
        <v>407</v>
      </c>
    </row>
    <row r="94" spans="1:59" x14ac:dyDescent="0.3">
      <c r="A94">
        <v>285293</v>
      </c>
      <c r="B94">
        <v>17462505</v>
      </c>
      <c r="C94">
        <v>2019</v>
      </c>
      <c r="D94" s="62">
        <v>43807</v>
      </c>
      <c r="E94">
        <v>5</v>
      </c>
      <c r="F94" t="s">
        <v>408</v>
      </c>
      <c r="G94" t="s">
        <v>319</v>
      </c>
      <c r="H94" t="s">
        <v>453</v>
      </c>
      <c r="I94" t="s">
        <v>437</v>
      </c>
      <c r="J94">
        <v>29.695344810000002</v>
      </c>
      <c r="K94">
        <v>-95.300293109999998</v>
      </c>
      <c r="L94" t="s">
        <v>321</v>
      </c>
      <c r="M94" t="s">
        <v>431</v>
      </c>
      <c r="N94" t="s">
        <v>429</v>
      </c>
      <c r="O94" t="s">
        <v>324</v>
      </c>
      <c r="P94" t="s">
        <v>414</v>
      </c>
      <c r="Q94" t="s">
        <v>278</v>
      </c>
      <c r="R94" t="s">
        <v>406</v>
      </c>
      <c r="S94">
        <v>0</v>
      </c>
      <c r="T94">
        <v>0</v>
      </c>
      <c r="U94">
        <v>0</v>
      </c>
      <c r="V94">
        <v>0</v>
      </c>
      <c r="W94">
        <v>0</v>
      </c>
      <c r="X94">
        <v>1</v>
      </c>
      <c r="Y94">
        <v>1</v>
      </c>
      <c r="Z94">
        <v>0</v>
      </c>
      <c r="AA94">
        <v>0</v>
      </c>
      <c r="AB94">
        <v>0</v>
      </c>
      <c r="AC94">
        <v>0</v>
      </c>
      <c r="AD94">
        <v>1</v>
      </c>
      <c r="AE94">
        <v>0</v>
      </c>
      <c r="AF94">
        <v>1</v>
      </c>
      <c r="AG94">
        <v>0</v>
      </c>
      <c r="AH94">
        <v>0</v>
      </c>
      <c r="AI94">
        <v>0</v>
      </c>
      <c r="AJ94">
        <v>0</v>
      </c>
      <c r="AK94">
        <v>0</v>
      </c>
      <c r="AL94">
        <v>0</v>
      </c>
      <c r="AM94">
        <v>0</v>
      </c>
      <c r="AN94">
        <v>0</v>
      </c>
      <c r="AO94">
        <v>0</v>
      </c>
      <c r="AP94">
        <v>0</v>
      </c>
      <c r="AQ94">
        <v>0</v>
      </c>
      <c r="AR94">
        <v>0</v>
      </c>
      <c r="AS94">
        <v>0</v>
      </c>
      <c r="AT94">
        <v>0</v>
      </c>
      <c r="AU94" t="s">
        <v>242</v>
      </c>
      <c r="AV94" t="s">
        <v>457</v>
      </c>
      <c r="AW94" t="s">
        <v>328</v>
      </c>
      <c r="AX94" t="s">
        <v>458</v>
      </c>
      <c r="AY94">
        <v>77087</v>
      </c>
      <c r="AZ94">
        <v>48201332800</v>
      </c>
      <c r="BA94" t="s">
        <v>329</v>
      </c>
      <c r="BB94" t="s">
        <v>330</v>
      </c>
      <c r="BC94">
        <v>54257</v>
      </c>
      <c r="BD94">
        <v>2892</v>
      </c>
      <c r="BE94" t="s">
        <v>407</v>
      </c>
      <c r="BF94" t="s">
        <v>407</v>
      </c>
      <c r="BG94" t="s">
        <v>407</v>
      </c>
    </row>
    <row r="95" spans="1:59" x14ac:dyDescent="0.3">
      <c r="A95">
        <v>285393</v>
      </c>
      <c r="B95">
        <v>17462825</v>
      </c>
      <c r="C95">
        <v>2019</v>
      </c>
      <c r="D95" s="62">
        <v>43783</v>
      </c>
      <c r="E95">
        <v>12</v>
      </c>
      <c r="F95" t="s">
        <v>425</v>
      </c>
      <c r="G95" t="s">
        <v>319</v>
      </c>
      <c r="H95" t="s">
        <v>453</v>
      </c>
      <c r="I95" t="s">
        <v>427</v>
      </c>
      <c r="J95">
        <v>29.694873470000001</v>
      </c>
      <c r="K95">
        <v>-95.30002064</v>
      </c>
      <c r="L95" t="s">
        <v>430</v>
      </c>
      <c r="M95" t="s">
        <v>322</v>
      </c>
      <c r="N95" t="s">
        <v>323</v>
      </c>
      <c r="O95" t="s">
        <v>324</v>
      </c>
      <c r="P95" t="s">
        <v>414</v>
      </c>
      <c r="Q95" t="s">
        <v>332</v>
      </c>
      <c r="R95" t="s">
        <v>406</v>
      </c>
      <c r="S95">
        <v>0</v>
      </c>
      <c r="T95">
        <v>0</v>
      </c>
      <c r="U95">
        <v>0</v>
      </c>
      <c r="V95">
        <v>0</v>
      </c>
      <c r="W95">
        <v>0</v>
      </c>
      <c r="X95">
        <v>2</v>
      </c>
      <c r="Y95">
        <v>2</v>
      </c>
      <c r="Z95">
        <v>0</v>
      </c>
      <c r="AA95">
        <v>0</v>
      </c>
      <c r="AB95">
        <v>0</v>
      </c>
      <c r="AC95">
        <v>0</v>
      </c>
      <c r="AD95">
        <v>2</v>
      </c>
      <c r="AE95">
        <v>0</v>
      </c>
      <c r="AF95">
        <v>2</v>
      </c>
      <c r="AG95">
        <v>0</v>
      </c>
      <c r="AH95">
        <v>0</v>
      </c>
      <c r="AI95">
        <v>0</v>
      </c>
      <c r="AJ95">
        <v>0</v>
      </c>
      <c r="AK95">
        <v>0</v>
      </c>
      <c r="AL95">
        <v>0</v>
      </c>
      <c r="AM95">
        <v>0</v>
      </c>
      <c r="AN95">
        <v>0</v>
      </c>
      <c r="AO95">
        <v>0</v>
      </c>
      <c r="AP95">
        <v>0</v>
      </c>
      <c r="AQ95">
        <v>0</v>
      </c>
      <c r="AR95">
        <v>0</v>
      </c>
      <c r="AS95">
        <v>0</v>
      </c>
      <c r="AT95">
        <v>0</v>
      </c>
      <c r="AU95" t="s">
        <v>242</v>
      </c>
      <c r="AV95" t="s">
        <v>457</v>
      </c>
      <c r="AW95" t="s">
        <v>328</v>
      </c>
      <c r="AX95" t="s">
        <v>458</v>
      </c>
      <c r="AY95">
        <v>77087</v>
      </c>
      <c r="AZ95">
        <v>48201332800</v>
      </c>
      <c r="BA95" t="s">
        <v>329</v>
      </c>
      <c r="BB95" t="s">
        <v>330</v>
      </c>
      <c r="BC95">
        <v>54257</v>
      </c>
      <c r="BD95">
        <v>2892</v>
      </c>
      <c r="BE95" t="s">
        <v>470</v>
      </c>
      <c r="BF95" t="s">
        <v>407</v>
      </c>
      <c r="BG95" t="s">
        <v>407</v>
      </c>
    </row>
    <row r="96" spans="1:59" x14ac:dyDescent="0.3">
      <c r="A96">
        <v>285913</v>
      </c>
      <c r="B96">
        <v>17464683</v>
      </c>
      <c r="C96">
        <v>2019</v>
      </c>
      <c r="D96" s="62">
        <v>43811</v>
      </c>
      <c r="E96">
        <v>18</v>
      </c>
      <c r="F96" t="s">
        <v>425</v>
      </c>
      <c r="G96" t="s">
        <v>319</v>
      </c>
      <c r="H96" t="s">
        <v>453</v>
      </c>
      <c r="I96" t="s">
        <v>427</v>
      </c>
      <c r="J96">
        <v>29.695344810000002</v>
      </c>
      <c r="K96">
        <v>-95.300293109999998</v>
      </c>
      <c r="L96" t="s">
        <v>321</v>
      </c>
      <c r="M96" t="s">
        <v>431</v>
      </c>
      <c r="N96" t="s">
        <v>323</v>
      </c>
      <c r="O96" t="s">
        <v>324</v>
      </c>
      <c r="P96" t="s">
        <v>414</v>
      </c>
      <c r="Q96" t="s">
        <v>325</v>
      </c>
      <c r="R96" t="s">
        <v>412</v>
      </c>
      <c r="S96">
        <v>0</v>
      </c>
      <c r="T96">
        <v>0</v>
      </c>
      <c r="U96">
        <v>0</v>
      </c>
      <c r="V96">
        <v>0</v>
      </c>
      <c r="W96">
        <v>0</v>
      </c>
      <c r="X96">
        <v>2</v>
      </c>
      <c r="Y96">
        <v>0</v>
      </c>
      <c r="Z96">
        <v>0</v>
      </c>
      <c r="AA96">
        <v>0</v>
      </c>
      <c r="AB96">
        <v>0</v>
      </c>
      <c r="AC96">
        <v>0</v>
      </c>
      <c r="AD96">
        <v>2</v>
      </c>
      <c r="AE96">
        <v>0</v>
      </c>
      <c r="AF96">
        <v>0</v>
      </c>
      <c r="AG96">
        <v>0</v>
      </c>
      <c r="AH96">
        <v>0</v>
      </c>
      <c r="AI96">
        <v>0</v>
      </c>
      <c r="AJ96">
        <v>0</v>
      </c>
      <c r="AK96">
        <v>0</v>
      </c>
      <c r="AL96">
        <v>0</v>
      </c>
      <c r="AM96">
        <v>0</v>
      </c>
      <c r="AN96">
        <v>0</v>
      </c>
      <c r="AO96">
        <v>0</v>
      </c>
      <c r="AP96">
        <v>0</v>
      </c>
      <c r="AQ96">
        <v>0</v>
      </c>
      <c r="AR96">
        <v>0</v>
      </c>
      <c r="AS96">
        <v>0</v>
      </c>
      <c r="AT96">
        <v>0</v>
      </c>
      <c r="AU96" t="s">
        <v>242</v>
      </c>
      <c r="AV96" t="s">
        <v>457</v>
      </c>
      <c r="AW96" t="s">
        <v>328</v>
      </c>
      <c r="AX96" t="s">
        <v>458</v>
      </c>
      <c r="AY96">
        <v>77087</v>
      </c>
      <c r="AZ96">
        <v>48201332800</v>
      </c>
      <c r="BA96" t="s">
        <v>329</v>
      </c>
      <c r="BB96" t="s">
        <v>330</v>
      </c>
      <c r="BC96">
        <v>54257</v>
      </c>
      <c r="BD96">
        <v>2892</v>
      </c>
      <c r="BE96" t="s">
        <v>407</v>
      </c>
      <c r="BF96" t="s">
        <v>407</v>
      </c>
      <c r="BG96" t="s">
        <v>407</v>
      </c>
    </row>
    <row r="97" spans="1:59" x14ac:dyDescent="0.3">
      <c r="A97">
        <v>286986</v>
      </c>
      <c r="B97">
        <v>17469234</v>
      </c>
      <c r="C97">
        <v>2019</v>
      </c>
      <c r="D97" s="62">
        <v>43812</v>
      </c>
      <c r="E97">
        <v>13</v>
      </c>
      <c r="F97" t="s">
        <v>418</v>
      </c>
      <c r="G97" t="s">
        <v>319</v>
      </c>
      <c r="H97" t="s">
        <v>453</v>
      </c>
      <c r="I97" t="s">
        <v>437</v>
      </c>
      <c r="J97">
        <v>29.69117778</v>
      </c>
      <c r="K97">
        <v>-95.298779809999999</v>
      </c>
      <c r="L97" t="s">
        <v>321</v>
      </c>
      <c r="M97" t="s">
        <v>322</v>
      </c>
      <c r="N97" t="s">
        <v>323</v>
      </c>
      <c r="O97" t="s">
        <v>324</v>
      </c>
      <c r="P97" t="s">
        <v>414</v>
      </c>
      <c r="Q97" t="s">
        <v>332</v>
      </c>
      <c r="R97" t="s">
        <v>406</v>
      </c>
      <c r="S97">
        <v>0</v>
      </c>
      <c r="T97">
        <v>0</v>
      </c>
      <c r="U97">
        <v>0</v>
      </c>
      <c r="V97">
        <v>0</v>
      </c>
      <c r="W97">
        <v>0</v>
      </c>
      <c r="X97">
        <v>6</v>
      </c>
      <c r="Y97">
        <v>1</v>
      </c>
      <c r="Z97">
        <v>0</v>
      </c>
      <c r="AA97">
        <v>0</v>
      </c>
      <c r="AB97">
        <v>0</v>
      </c>
      <c r="AC97">
        <v>0</v>
      </c>
      <c r="AD97">
        <v>6</v>
      </c>
      <c r="AE97">
        <v>0</v>
      </c>
      <c r="AF97">
        <v>1</v>
      </c>
      <c r="AG97">
        <v>0</v>
      </c>
      <c r="AH97">
        <v>0</v>
      </c>
      <c r="AI97">
        <v>0</v>
      </c>
      <c r="AJ97">
        <v>0</v>
      </c>
      <c r="AK97">
        <v>0</v>
      </c>
      <c r="AL97">
        <v>0</v>
      </c>
      <c r="AM97">
        <v>0</v>
      </c>
      <c r="AN97">
        <v>0</v>
      </c>
      <c r="AO97">
        <v>0</v>
      </c>
      <c r="AP97">
        <v>0</v>
      </c>
      <c r="AQ97">
        <v>0</v>
      </c>
      <c r="AR97">
        <v>0</v>
      </c>
      <c r="AS97">
        <v>0</v>
      </c>
      <c r="AT97">
        <v>0</v>
      </c>
      <c r="AU97" t="s">
        <v>242</v>
      </c>
      <c r="AV97" t="s">
        <v>457</v>
      </c>
      <c r="AW97" t="s">
        <v>328</v>
      </c>
      <c r="AX97" t="s">
        <v>458</v>
      </c>
      <c r="AY97">
        <v>77087</v>
      </c>
      <c r="AZ97">
        <v>48201332900</v>
      </c>
      <c r="BA97" t="s">
        <v>329</v>
      </c>
      <c r="BB97" t="s">
        <v>330</v>
      </c>
      <c r="BC97">
        <v>54037</v>
      </c>
      <c r="BD97">
        <v>2892</v>
      </c>
      <c r="BE97" t="s">
        <v>407</v>
      </c>
      <c r="BF97" t="s">
        <v>407</v>
      </c>
      <c r="BG97" t="s">
        <v>407</v>
      </c>
    </row>
    <row r="98" spans="1:59" x14ac:dyDescent="0.3">
      <c r="A98">
        <v>290556</v>
      </c>
      <c r="B98">
        <v>17484077</v>
      </c>
      <c r="C98">
        <v>2019</v>
      </c>
      <c r="D98" s="62">
        <v>43821</v>
      </c>
      <c r="E98">
        <v>4</v>
      </c>
      <c r="F98" t="s">
        <v>408</v>
      </c>
      <c r="G98" t="s">
        <v>319</v>
      </c>
      <c r="H98" t="s">
        <v>473</v>
      </c>
      <c r="I98" t="s">
        <v>427</v>
      </c>
      <c r="J98">
        <v>29.67526149</v>
      </c>
      <c r="K98">
        <v>-95.289246730000002</v>
      </c>
      <c r="L98" t="s">
        <v>428</v>
      </c>
      <c r="M98" t="s">
        <v>428</v>
      </c>
      <c r="N98" t="s">
        <v>422</v>
      </c>
      <c r="O98" t="s">
        <v>462</v>
      </c>
      <c r="P98" t="s">
        <v>428</v>
      </c>
      <c r="Q98" t="s">
        <v>325</v>
      </c>
      <c r="R98" t="s">
        <v>406</v>
      </c>
      <c r="S98">
        <v>0</v>
      </c>
      <c r="T98">
        <v>0</v>
      </c>
      <c r="U98">
        <v>0</v>
      </c>
      <c r="V98">
        <v>0</v>
      </c>
      <c r="W98">
        <v>0</v>
      </c>
      <c r="X98">
        <v>0</v>
      </c>
      <c r="Y98">
        <v>1</v>
      </c>
      <c r="Z98">
        <v>0</v>
      </c>
      <c r="AA98">
        <v>0</v>
      </c>
      <c r="AB98">
        <v>0</v>
      </c>
      <c r="AC98">
        <v>0</v>
      </c>
      <c r="AD98">
        <v>0</v>
      </c>
      <c r="AE98">
        <v>0</v>
      </c>
      <c r="AF98">
        <v>1</v>
      </c>
      <c r="AG98">
        <v>0</v>
      </c>
      <c r="AH98">
        <v>0</v>
      </c>
      <c r="AI98">
        <v>0</v>
      </c>
      <c r="AJ98">
        <v>0</v>
      </c>
      <c r="AK98">
        <v>0</v>
      </c>
      <c r="AL98">
        <v>0</v>
      </c>
      <c r="AM98">
        <v>0</v>
      </c>
      <c r="AN98">
        <v>0</v>
      </c>
      <c r="AO98">
        <v>0</v>
      </c>
      <c r="AP98">
        <v>0</v>
      </c>
      <c r="AQ98">
        <v>0</v>
      </c>
      <c r="AR98">
        <v>0</v>
      </c>
      <c r="AS98">
        <v>0</v>
      </c>
      <c r="AT98">
        <v>0</v>
      </c>
      <c r="AU98" t="s">
        <v>242</v>
      </c>
      <c r="AV98" t="s">
        <v>457</v>
      </c>
      <c r="AW98" t="s">
        <v>328</v>
      </c>
      <c r="AX98" t="s">
        <v>458</v>
      </c>
      <c r="AY98">
        <v>77087</v>
      </c>
      <c r="AZ98">
        <v>48201333000</v>
      </c>
      <c r="BA98" t="s">
        <v>329</v>
      </c>
      <c r="BB98" t="s">
        <v>330</v>
      </c>
      <c r="BC98">
        <v>53378</v>
      </c>
      <c r="BD98">
        <v>2840</v>
      </c>
      <c r="BE98" t="s">
        <v>407</v>
      </c>
      <c r="BF98" t="s">
        <v>407</v>
      </c>
      <c r="BG98" t="s">
        <v>407</v>
      </c>
    </row>
    <row r="99" spans="1:59" x14ac:dyDescent="0.3">
      <c r="A99">
        <v>294739</v>
      </c>
      <c r="B99">
        <v>17518609</v>
      </c>
      <c r="C99">
        <v>2019</v>
      </c>
      <c r="D99" s="62">
        <v>43783</v>
      </c>
      <c r="E99">
        <v>12</v>
      </c>
      <c r="F99" t="s">
        <v>425</v>
      </c>
      <c r="G99" t="s">
        <v>319</v>
      </c>
      <c r="H99" t="s">
        <v>453</v>
      </c>
      <c r="I99" t="s">
        <v>427</v>
      </c>
      <c r="J99">
        <v>29.690758880000001</v>
      </c>
      <c r="K99">
        <v>-95.298769710000002</v>
      </c>
      <c r="L99" t="s">
        <v>428</v>
      </c>
      <c r="M99" t="s">
        <v>428</v>
      </c>
      <c r="N99" t="s">
        <v>323</v>
      </c>
      <c r="O99" t="s">
        <v>324</v>
      </c>
      <c r="P99" t="s">
        <v>410</v>
      </c>
      <c r="Q99" t="s">
        <v>332</v>
      </c>
      <c r="R99" t="s">
        <v>406</v>
      </c>
      <c r="S99">
        <v>0</v>
      </c>
      <c r="T99">
        <v>0</v>
      </c>
      <c r="U99">
        <v>2</v>
      </c>
      <c r="V99">
        <v>0</v>
      </c>
      <c r="W99">
        <v>2</v>
      </c>
      <c r="X99">
        <v>0</v>
      </c>
      <c r="Y99">
        <v>2</v>
      </c>
      <c r="Z99">
        <v>0</v>
      </c>
      <c r="AA99">
        <v>0</v>
      </c>
      <c r="AB99">
        <v>2</v>
      </c>
      <c r="AC99">
        <v>0</v>
      </c>
      <c r="AD99">
        <v>0</v>
      </c>
      <c r="AE99">
        <v>2</v>
      </c>
      <c r="AF99">
        <v>2</v>
      </c>
      <c r="AG99">
        <v>0</v>
      </c>
      <c r="AH99">
        <v>0</v>
      </c>
      <c r="AI99">
        <v>0</v>
      </c>
      <c r="AJ99">
        <v>0</v>
      </c>
      <c r="AK99">
        <v>0</v>
      </c>
      <c r="AL99">
        <v>0</v>
      </c>
      <c r="AM99">
        <v>0</v>
      </c>
      <c r="AN99">
        <v>0</v>
      </c>
      <c r="AO99">
        <v>0</v>
      </c>
      <c r="AP99">
        <v>0</v>
      </c>
      <c r="AQ99">
        <v>0</v>
      </c>
      <c r="AR99">
        <v>0</v>
      </c>
      <c r="AS99">
        <v>0</v>
      </c>
      <c r="AT99">
        <v>0</v>
      </c>
      <c r="AU99" t="s">
        <v>242</v>
      </c>
      <c r="AV99" t="s">
        <v>457</v>
      </c>
      <c r="AW99" t="s">
        <v>328</v>
      </c>
      <c r="AX99" t="s">
        <v>458</v>
      </c>
      <c r="AY99">
        <v>77087</v>
      </c>
      <c r="AZ99">
        <v>48201332900</v>
      </c>
      <c r="BA99" t="s">
        <v>329</v>
      </c>
      <c r="BB99" t="s">
        <v>330</v>
      </c>
      <c r="BC99">
        <v>54037</v>
      </c>
      <c r="BD99">
        <v>2892</v>
      </c>
      <c r="BE99" t="s">
        <v>470</v>
      </c>
      <c r="BF99" t="s">
        <v>407</v>
      </c>
      <c r="BG99" t="s">
        <v>407</v>
      </c>
    </row>
    <row r="100" spans="1:59" x14ac:dyDescent="0.3">
      <c r="A100">
        <v>300390</v>
      </c>
      <c r="B100">
        <v>17514869</v>
      </c>
      <c r="C100">
        <v>2020</v>
      </c>
      <c r="D100" s="62">
        <v>43838</v>
      </c>
      <c r="E100">
        <v>18</v>
      </c>
      <c r="F100" t="s">
        <v>405</v>
      </c>
      <c r="G100" t="s">
        <v>319</v>
      </c>
      <c r="H100" t="s">
        <v>453</v>
      </c>
      <c r="I100" t="s">
        <v>427</v>
      </c>
      <c r="J100">
        <v>29.68041479</v>
      </c>
      <c r="K100">
        <v>-95.293353089999997</v>
      </c>
      <c r="L100" t="s">
        <v>428</v>
      </c>
      <c r="M100" t="s">
        <v>428</v>
      </c>
      <c r="N100" t="s">
        <v>323</v>
      </c>
      <c r="O100" t="s">
        <v>324</v>
      </c>
      <c r="P100" t="s">
        <v>414</v>
      </c>
      <c r="Q100" t="s">
        <v>332</v>
      </c>
      <c r="R100" t="s">
        <v>426</v>
      </c>
      <c r="S100">
        <v>0</v>
      </c>
      <c r="T100">
        <v>0</v>
      </c>
      <c r="U100">
        <v>0</v>
      </c>
      <c r="V100">
        <v>0</v>
      </c>
      <c r="W100">
        <v>0</v>
      </c>
      <c r="X100">
        <v>3</v>
      </c>
      <c r="Y100">
        <v>0</v>
      </c>
      <c r="Z100">
        <v>0</v>
      </c>
      <c r="AA100">
        <v>0</v>
      </c>
      <c r="AB100">
        <v>0</v>
      </c>
      <c r="AC100">
        <v>0</v>
      </c>
      <c r="AD100">
        <v>3</v>
      </c>
      <c r="AE100">
        <v>0</v>
      </c>
      <c r="AF100">
        <v>0</v>
      </c>
      <c r="AG100">
        <v>0</v>
      </c>
      <c r="AH100">
        <v>0</v>
      </c>
      <c r="AI100">
        <v>0</v>
      </c>
      <c r="AJ100">
        <v>0</v>
      </c>
      <c r="AK100">
        <v>0</v>
      </c>
      <c r="AL100">
        <v>0</v>
      </c>
      <c r="AM100">
        <v>0</v>
      </c>
      <c r="AN100">
        <v>0</v>
      </c>
      <c r="AO100">
        <v>0</v>
      </c>
      <c r="AP100">
        <v>0</v>
      </c>
      <c r="AQ100">
        <v>0</v>
      </c>
      <c r="AR100">
        <v>0</v>
      </c>
      <c r="AS100">
        <v>0</v>
      </c>
      <c r="AT100">
        <v>0</v>
      </c>
      <c r="AU100" t="s">
        <v>242</v>
      </c>
      <c r="AV100" t="s">
        <v>327</v>
      </c>
      <c r="AW100" t="s">
        <v>328</v>
      </c>
      <c r="AX100" t="s">
        <v>458</v>
      </c>
      <c r="AY100">
        <v>77087</v>
      </c>
      <c r="AZ100">
        <v>48201332600</v>
      </c>
      <c r="BA100" t="s">
        <v>329</v>
      </c>
      <c r="BB100" t="s">
        <v>330</v>
      </c>
      <c r="BC100">
        <v>158977</v>
      </c>
      <c r="BD100">
        <v>2840</v>
      </c>
      <c r="BE100" t="s">
        <v>407</v>
      </c>
      <c r="BF100" t="s">
        <v>407</v>
      </c>
      <c r="BG100" t="s">
        <v>407</v>
      </c>
    </row>
    <row r="101" spans="1:59" x14ac:dyDescent="0.3">
      <c r="A101">
        <v>304508</v>
      </c>
      <c r="B101">
        <v>17532825</v>
      </c>
      <c r="C101">
        <v>2020</v>
      </c>
      <c r="D101" s="62">
        <v>43855</v>
      </c>
      <c r="E101">
        <v>16</v>
      </c>
      <c r="F101" t="s">
        <v>436</v>
      </c>
      <c r="G101" t="s">
        <v>489</v>
      </c>
      <c r="H101" t="s">
        <v>473</v>
      </c>
      <c r="I101" t="s">
        <v>320</v>
      </c>
      <c r="J101">
        <v>29.67506303</v>
      </c>
      <c r="K101">
        <v>-95.289241349999998</v>
      </c>
      <c r="L101" t="s">
        <v>321</v>
      </c>
      <c r="M101" t="s">
        <v>322</v>
      </c>
      <c r="N101" t="s">
        <v>429</v>
      </c>
      <c r="O101" t="s">
        <v>324</v>
      </c>
      <c r="P101" t="s">
        <v>414</v>
      </c>
      <c r="Q101" t="s">
        <v>278</v>
      </c>
      <c r="R101" t="s">
        <v>406</v>
      </c>
      <c r="S101">
        <v>0</v>
      </c>
      <c r="T101">
        <v>0</v>
      </c>
      <c r="U101">
        <v>0</v>
      </c>
      <c r="V101">
        <v>0</v>
      </c>
      <c r="W101">
        <v>0</v>
      </c>
      <c r="X101">
        <v>2</v>
      </c>
      <c r="Y101">
        <v>0</v>
      </c>
      <c r="Z101">
        <v>0</v>
      </c>
      <c r="AA101">
        <v>0</v>
      </c>
      <c r="AB101">
        <v>0</v>
      </c>
      <c r="AC101">
        <v>0</v>
      </c>
      <c r="AD101">
        <v>2</v>
      </c>
      <c r="AE101">
        <v>0</v>
      </c>
      <c r="AF101">
        <v>0</v>
      </c>
      <c r="AG101">
        <v>0</v>
      </c>
      <c r="AH101">
        <v>0</v>
      </c>
      <c r="AI101">
        <v>0</v>
      </c>
      <c r="AJ101">
        <v>0</v>
      </c>
      <c r="AK101">
        <v>0</v>
      </c>
      <c r="AL101">
        <v>0</v>
      </c>
      <c r="AM101">
        <v>0</v>
      </c>
      <c r="AN101">
        <v>0</v>
      </c>
      <c r="AO101">
        <v>0</v>
      </c>
      <c r="AP101">
        <v>0</v>
      </c>
      <c r="AQ101">
        <v>0</v>
      </c>
      <c r="AR101">
        <v>0</v>
      </c>
      <c r="AS101">
        <v>0</v>
      </c>
      <c r="AT101">
        <v>0</v>
      </c>
      <c r="AU101" t="s">
        <v>242</v>
      </c>
      <c r="AV101" t="s">
        <v>457</v>
      </c>
      <c r="AW101" t="s">
        <v>328</v>
      </c>
      <c r="AX101" t="s">
        <v>458</v>
      </c>
      <c r="AY101">
        <v>77087</v>
      </c>
      <c r="AZ101">
        <v>48201333000</v>
      </c>
      <c r="BA101" t="s">
        <v>329</v>
      </c>
      <c r="BB101" t="s">
        <v>330</v>
      </c>
      <c r="BC101">
        <v>53378</v>
      </c>
      <c r="BD101">
        <v>2840</v>
      </c>
      <c r="BE101" t="s">
        <v>407</v>
      </c>
      <c r="BF101" t="s">
        <v>407</v>
      </c>
      <c r="BG101" t="s">
        <v>407</v>
      </c>
    </row>
    <row r="102" spans="1:59" x14ac:dyDescent="0.3">
      <c r="A102">
        <v>307190</v>
      </c>
      <c r="B102">
        <v>17544164</v>
      </c>
      <c r="C102">
        <v>2020</v>
      </c>
      <c r="D102" s="62">
        <v>43861</v>
      </c>
      <c r="E102">
        <v>7</v>
      </c>
      <c r="F102" t="s">
        <v>418</v>
      </c>
      <c r="G102" t="s">
        <v>319</v>
      </c>
      <c r="H102" t="s">
        <v>469</v>
      </c>
      <c r="I102" t="s">
        <v>320</v>
      </c>
      <c r="J102">
        <v>29.685155940000001</v>
      </c>
      <c r="K102">
        <v>-95.296124239999997</v>
      </c>
      <c r="L102" t="s">
        <v>321</v>
      </c>
      <c r="M102" t="s">
        <v>322</v>
      </c>
      <c r="N102" t="s">
        <v>323</v>
      </c>
      <c r="O102" t="s">
        <v>324</v>
      </c>
      <c r="P102" t="s">
        <v>414</v>
      </c>
      <c r="Q102" t="s">
        <v>278</v>
      </c>
      <c r="R102" t="s">
        <v>406</v>
      </c>
      <c r="S102">
        <v>0</v>
      </c>
      <c r="T102">
        <v>0</v>
      </c>
      <c r="U102">
        <v>0</v>
      </c>
      <c r="V102">
        <v>0</v>
      </c>
      <c r="W102">
        <v>0</v>
      </c>
      <c r="X102">
        <v>3</v>
      </c>
      <c r="Y102">
        <v>0</v>
      </c>
      <c r="Z102">
        <v>0</v>
      </c>
      <c r="AA102">
        <v>0</v>
      </c>
      <c r="AB102">
        <v>0</v>
      </c>
      <c r="AC102">
        <v>0</v>
      </c>
      <c r="AD102">
        <v>3</v>
      </c>
      <c r="AE102">
        <v>0</v>
      </c>
      <c r="AF102">
        <v>0</v>
      </c>
      <c r="AG102">
        <v>0</v>
      </c>
      <c r="AH102">
        <v>0</v>
      </c>
      <c r="AI102">
        <v>0</v>
      </c>
      <c r="AJ102">
        <v>0</v>
      </c>
      <c r="AK102">
        <v>0</v>
      </c>
      <c r="AL102">
        <v>0</v>
      </c>
      <c r="AM102">
        <v>0</v>
      </c>
      <c r="AN102">
        <v>0</v>
      </c>
      <c r="AO102">
        <v>0</v>
      </c>
      <c r="AP102">
        <v>0</v>
      </c>
      <c r="AQ102">
        <v>0</v>
      </c>
      <c r="AR102">
        <v>0</v>
      </c>
      <c r="AS102">
        <v>0</v>
      </c>
      <c r="AT102">
        <v>0</v>
      </c>
      <c r="AU102" t="s">
        <v>242</v>
      </c>
      <c r="AV102" t="s">
        <v>457</v>
      </c>
      <c r="AW102" t="s">
        <v>328</v>
      </c>
      <c r="AX102" t="s">
        <v>458</v>
      </c>
      <c r="AY102">
        <v>77087</v>
      </c>
      <c r="AZ102">
        <v>48201332900</v>
      </c>
      <c r="BA102" t="s">
        <v>329</v>
      </c>
      <c r="BB102" t="s">
        <v>330</v>
      </c>
      <c r="BC102">
        <v>53817</v>
      </c>
      <c r="BD102">
        <v>2840</v>
      </c>
      <c r="BE102" t="s">
        <v>407</v>
      </c>
      <c r="BF102" t="s">
        <v>407</v>
      </c>
      <c r="BG102" t="s">
        <v>407</v>
      </c>
    </row>
    <row r="103" spans="1:59" x14ac:dyDescent="0.3">
      <c r="A103">
        <v>309369</v>
      </c>
      <c r="B103">
        <v>17553522</v>
      </c>
      <c r="C103">
        <v>2020</v>
      </c>
      <c r="D103" s="62">
        <v>43861</v>
      </c>
      <c r="E103">
        <v>18</v>
      </c>
      <c r="F103" t="s">
        <v>418</v>
      </c>
      <c r="G103" t="s">
        <v>319</v>
      </c>
      <c r="H103" t="s">
        <v>473</v>
      </c>
      <c r="I103" t="s">
        <v>320</v>
      </c>
      <c r="J103">
        <v>29.67510352</v>
      </c>
      <c r="K103">
        <v>-95.289242439999995</v>
      </c>
      <c r="L103" t="s">
        <v>420</v>
      </c>
      <c r="M103" t="s">
        <v>431</v>
      </c>
      <c r="N103" t="s">
        <v>323</v>
      </c>
      <c r="O103" t="s">
        <v>324</v>
      </c>
      <c r="P103" t="s">
        <v>414</v>
      </c>
      <c r="Q103" t="s">
        <v>331</v>
      </c>
      <c r="R103" t="s">
        <v>326</v>
      </c>
      <c r="S103">
        <v>0</v>
      </c>
      <c r="T103">
        <v>0</v>
      </c>
      <c r="U103">
        <v>0</v>
      </c>
      <c r="V103">
        <v>0</v>
      </c>
      <c r="W103">
        <v>0</v>
      </c>
      <c r="X103">
        <v>5</v>
      </c>
      <c r="Y103">
        <v>0</v>
      </c>
      <c r="Z103">
        <v>0</v>
      </c>
      <c r="AA103">
        <v>0</v>
      </c>
      <c r="AB103">
        <v>0</v>
      </c>
      <c r="AC103">
        <v>0</v>
      </c>
      <c r="AD103">
        <v>5</v>
      </c>
      <c r="AE103">
        <v>0</v>
      </c>
      <c r="AF103">
        <v>0</v>
      </c>
      <c r="AG103">
        <v>0</v>
      </c>
      <c r="AH103">
        <v>0</v>
      </c>
      <c r="AI103">
        <v>0</v>
      </c>
      <c r="AJ103">
        <v>0</v>
      </c>
      <c r="AK103">
        <v>0</v>
      </c>
      <c r="AL103">
        <v>0</v>
      </c>
      <c r="AM103">
        <v>0</v>
      </c>
      <c r="AN103">
        <v>0</v>
      </c>
      <c r="AO103">
        <v>0</v>
      </c>
      <c r="AP103">
        <v>0</v>
      </c>
      <c r="AQ103">
        <v>0</v>
      </c>
      <c r="AR103">
        <v>0</v>
      </c>
      <c r="AS103">
        <v>0</v>
      </c>
      <c r="AT103">
        <v>0</v>
      </c>
      <c r="AU103" t="s">
        <v>242</v>
      </c>
      <c r="AV103" t="s">
        <v>457</v>
      </c>
      <c r="AW103" t="s">
        <v>328</v>
      </c>
      <c r="AX103" t="s">
        <v>458</v>
      </c>
      <c r="AY103">
        <v>77087</v>
      </c>
      <c r="AZ103">
        <v>48201333000</v>
      </c>
      <c r="BA103" t="s">
        <v>329</v>
      </c>
      <c r="BB103" t="s">
        <v>330</v>
      </c>
      <c r="BC103">
        <v>53378</v>
      </c>
      <c r="BD103">
        <v>2840</v>
      </c>
      <c r="BE103" t="s">
        <v>407</v>
      </c>
      <c r="BF103" t="s">
        <v>407</v>
      </c>
      <c r="BG103" t="s">
        <v>407</v>
      </c>
    </row>
    <row r="104" spans="1:59" x14ac:dyDescent="0.3">
      <c r="A104">
        <v>310314</v>
      </c>
      <c r="B104">
        <v>17557293</v>
      </c>
      <c r="C104">
        <v>2020</v>
      </c>
      <c r="D104" s="62">
        <v>43861</v>
      </c>
      <c r="E104">
        <v>15</v>
      </c>
      <c r="F104" t="s">
        <v>418</v>
      </c>
      <c r="G104" t="s">
        <v>319</v>
      </c>
      <c r="H104" t="s">
        <v>469</v>
      </c>
      <c r="I104" t="s">
        <v>411</v>
      </c>
      <c r="J104">
        <v>29.685157069999999</v>
      </c>
      <c r="K104">
        <v>-95.296045359999994</v>
      </c>
      <c r="L104" t="s">
        <v>420</v>
      </c>
      <c r="M104" t="s">
        <v>322</v>
      </c>
      <c r="N104" t="s">
        <v>323</v>
      </c>
      <c r="O104" t="s">
        <v>324</v>
      </c>
      <c r="P104" t="s">
        <v>283</v>
      </c>
      <c r="Q104" t="s">
        <v>325</v>
      </c>
      <c r="R104" t="s">
        <v>447</v>
      </c>
      <c r="S104">
        <v>0</v>
      </c>
      <c r="T104">
        <v>0</v>
      </c>
      <c r="U104">
        <v>0</v>
      </c>
      <c r="V104">
        <v>1</v>
      </c>
      <c r="W104">
        <v>1</v>
      </c>
      <c r="X104">
        <v>2</v>
      </c>
      <c r="Y104">
        <v>0</v>
      </c>
      <c r="Z104">
        <v>0</v>
      </c>
      <c r="AA104">
        <v>0</v>
      </c>
      <c r="AB104">
        <v>0</v>
      </c>
      <c r="AC104">
        <v>1</v>
      </c>
      <c r="AD104">
        <v>2</v>
      </c>
      <c r="AE104">
        <v>1</v>
      </c>
      <c r="AF104">
        <v>0</v>
      </c>
      <c r="AG104">
        <v>0</v>
      </c>
      <c r="AH104">
        <v>0</v>
      </c>
      <c r="AI104">
        <v>0</v>
      </c>
      <c r="AJ104">
        <v>0</v>
      </c>
      <c r="AK104">
        <v>0</v>
      </c>
      <c r="AL104">
        <v>0</v>
      </c>
      <c r="AM104">
        <v>0</v>
      </c>
      <c r="AN104">
        <v>0</v>
      </c>
      <c r="AO104">
        <v>0</v>
      </c>
      <c r="AP104">
        <v>0</v>
      </c>
      <c r="AQ104">
        <v>0</v>
      </c>
      <c r="AR104">
        <v>0</v>
      </c>
      <c r="AS104">
        <v>0</v>
      </c>
      <c r="AT104">
        <v>0</v>
      </c>
      <c r="AU104" t="s">
        <v>242</v>
      </c>
      <c r="AV104" t="s">
        <v>457</v>
      </c>
      <c r="AW104" t="s">
        <v>328</v>
      </c>
      <c r="AX104" t="s">
        <v>458</v>
      </c>
      <c r="AY104">
        <v>77087</v>
      </c>
      <c r="AZ104">
        <v>48201332900</v>
      </c>
      <c r="BA104" t="s">
        <v>329</v>
      </c>
      <c r="BB104" t="s">
        <v>330</v>
      </c>
      <c r="BC104">
        <v>53817</v>
      </c>
      <c r="BD104">
        <v>2840</v>
      </c>
      <c r="BE104" t="s">
        <v>407</v>
      </c>
      <c r="BF104" t="s">
        <v>407</v>
      </c>
      <c r="BG104" t="s">
        <v>407</v>
      </c>
    </row>
    <row r="105" spans="1:59" x14ac:dyDescent="0.3">
      <c r="A105">
        <v>312337</v>
      </c>
      <c r="B105">
        <v>17566796</v>
      </c>
      <c r="C105">
        <v>2020</v>
      </c>
      <c r="D105" s="62">
        <v>43872</v>
      </c>
      <c r="E105">
        <v>20</v>
      </c>
      <c r="F105" t="s">
        <v>318</v>
      </c>
      <c r="G105" t="s">
        <v>319</v>
      </c>
      <c r="H105" t="s">
        <v>490</v>
      </c>
      <c r="I105" t="s">
        <v>427</v>
      </c>
      <c r="J105">
        <v>29.69269482</v>
      </c>
      <c r="K105">
        <v>-95.299003089999999</v>
      </c>
      <c r="L105" t="s">
        <v>321</v>
      </c>
      <c r="M105" t="s">
        <v>322</v>
      </c>
      <c r="N105" t="s">
        <v>422</v>
      </c>
      <c r="O105" t="s">
        <v>462</v>
      </c>
      <c r="P105" t="s">
        <v>428</v>
      </c>
      <c r="Q105" t="s">
        <v>332</v>
      </c>
      <c r="R105" t="s">
        <v>435</v>
      </c>
      <c r="S105">
        <v>0</v>
      </c>
      <c r="T105">
        <v>0</v>
      </c>
      <c r="U105">
        <v>0</v>
      </c>
      <c r="V105">
        <v>0</v>
      </c>
      <c r="W105">
        <v>0</v>
      </c>
      <c r="X105">
        <v>0</v>
      </c>
      <c r="Y105">
        <v>1</v>
      </c>
      <c r="Z105">
        <v>0</v>
      </c>
      <c r="AA105">
        <v>0</v>
      </c>
      <c r="AB105">
        <v>0</v>
      </c>
      <c r="AC105">
        <v>0</v>
      </c>
      <c r="AD105">
        <v>0</v>
      </c>
      <c r="AE105">
        <v>0</v>
      </c>
      <c r="AF105">
        <v>1</v>
      </c>
      <c r="AG105">
        <v>0</v>
      </c>
      <c r="AH105">
        <v>0</v>
      </c>
      <c r="AI105">
        <v>0</v>
      </c>
      <c r="AJ105">
        <v>0</v>
      </c>
      <c r="AK105">
        <v>0</v>
      </c>
      <c r="AL105">
        <v>0</v>
      </c>
      <c r="AM105">
        <v>0</v>
      </c>
      <c r="AN105">
        <v>0</v>
      </c>
      <c r="AO105">
        <v>0</v>
      </c>
      <c r="AP105">
        <v>0</v>
      </c>
      <c r="AQ105">
        <v>0</v>
      </c>
      <c r="AR105">
        <v>0</v>
      </c>
      <c r="AS105">
        <v>0</v>
      </c>
      <c r="AT105">
        <v>0</v>
      </c>
      <c r="AU105" t="s">
        <v>242</v>
      </c>
      <c r="AV105" t="s">
        <v>457</v>
      </c>
      <c r="AW105" t="s">
        <v>328</v>
      </c>
      <c r="AX105" t="s">
        <v>458</v>
      </c>
      <c r="AY105">
        <v>77087</v>
      </c>
      <c r="AZ105">
        <v>48201332800</v>
      </c>
      <c r="BA105" t="s">
        <v>329</v>
      </c>
      <c r="BB105" t="s">
        <v>330</v>
      </c>
      <c r="BC105">
        <v>54037</v>
      </c>
      <c r="BD105">
        <v>2892</v>
      </c>
      <c r="BE105" t="s">
        <v>407</v>
      </c>
      <c r="BF105" t="s">
        <v>407</v>
      </c>
      <c r="BG105" t="s">
        <v>407</v>
      </c>
    </row>
    <row r="106" spans="1:59" x14ac:dyDescent="0.3">
      <c r="A106">
        <v>312533</v>
      </c>
      <c r="B106">
        <v>17567768</v>
      </c>
      <c r="C106">
        <v>2020</v>
      </c>
      <c r="D106" s="62">
        <v>43874</v>
      </c>
      <c r="E106">
        <v>18</v>
      </c>
      <c r="F106" t="s">
        <v>425</v>
      </c>
      <c r="G106" t="s">
        <v>319</v>
      </c>
      <c r="H106" t="s">
        <v>453</v>
      </c>
      <c r="I106" t="s">
        <v>411</v>
      </c>
      <c r="J106">
        <v>29.685162040000002</v>
      </c>
      <c r="K106">
        <v>-95.296387629999998</v>
      </c>
      <c r="L106" t="s">
        <v>321</v>
      </c>
      <c r="M106" t="s">
        <v>322</v>
      </c>
      <c r="N106" t="s">
        <v>422</v>
      </c>
      <c r="O106" t="s">
        <v>324</v>
      </c>
      <c r="P106" t="s">
        <v>410</v>
      </c>
      <c r="Q106" t="s">
        <v>332</v>
      </c>
      <c r="R106" t="s">
        <v>406</v>
      </c>
      <c r="S106">
        <v>0</v>
      </c>
      <c r="T106">
        <v>0</v>
      </c>
      <c r="U106">
        <v>1</v>
      </c>
      <c r="V106">
        <v>2</v>
      </c>
      <c r="W106">
        <v>3</v>
      </c>
      <c r="X106">
        <v>0</v>
      </c>
      <c r="Y106">
        <v>3</v>
      </c>
      <c r="Z106">
        <v>0</v>
      </c>
      <c r="AA106">
        <v>0</v>
      </c>
      <c r="AB106">
        <v>1</v>
      </c>
      <c r="AC106">
        <v>2</v>
      </c>
      <c r="AD106">
        <v>0</v>
      </c>
      <c r="AE106">
        <v>3</v>
      </c>
      <c r="AF106">
        <v>3</v>
      </c>
      <c r="AG106">
        <v>0</v>
      </c>
      <c r="AH106">
        <v>0</v>
      </c>
      <c r="AI106">
        <v>0</v>
      </c>
      <c r="AJ106">
        <v>0</v>
      </c>
      <c r="AK106">
        <v>0</v>
      </c>
      <c r="AL106">
        <v>0</v>
      </c>
      <c r="AM106">
        <v>0</v>
      </c>
      <c r="AN106">
        <v>0</v>
      </c>
      <c r="AO106">
        <v>0</v>
      </c>
      <c r="AP106">
        <v>0</v>
      </c>
      <c r="AQ106">
        <v>0</v>
      </c>
      <c r="AR106">
        <v>0</v>
      </c>
      <c r="AS106">
        <v>0</v>
      </c>
      <c r="AT106">
        <v>0</v>
      </c>
      <c r="AU106" t="s">
        <v>242</v>
      </c>
      <c r="AV106" t="s">
        <v>457</v>
      </c>
      <c r="AW106" t="s">
        <v>328</v>
      </c>
      <c r="AX106" t="s">
        <v>458</v>
      </c>
      <c r="AY106">
        <v>77087</v>
      </c>
      <c r="AZ106">
        <v>48201332800</v>
      </c>
      <c r="BA106" t="s">
        <v>329</v>
      </c>
      <c r="BB106" t="s">
        <v>330</v>
      </c>
      <c r="BC106">
        <v>53817</v>
      </c>
      <c r="BD106">
        <v>2840</v>
      </c>
      <c r="BE106" t="s">
        <v>407</v>
      </c>
      <c r="BF106" t="s">
        <v>407</v>
      </c>
      <c r="BG106" t="s">
        <v>407</v>
      </c>
    </row>
    <row r="107" spans="1:59" x14ac:dyDescent="0.3">
      <c r="A107">
        <v>312916</v>
      </c>
      <c r="B107">
        <v>17568956</v>
      </c>
      <c r="C107">
        <v>2020</v>
      </c>
      <c r="D107" s="62">
        <v>43887</v>
      </c>
      <c r="E107">
        <v>14</v>
      </c>
      <c r="F107" t="s">
        <v>405</v>
      </c>
      <c r="G107" t="s">
        <v>319</v>
      </c>
      <c r="H107" t="s">
        <v>453</v>
      </c>
      <c r="I107" t="s">
        <v>427</v>
      </c>
      <c r="J107">
        <v>29.675395080000001</v>
      </c>
      <c r="K107">
        <v>-95.289402300000006</v>
      </c>
      <c r="L107" t="s">
        <v>321</v>
      </c>
      <c r="M107" t="s">
        <v>322</v>
      </c>
      <c r="N107" t="s">
        <v>422</v>
      </c>
      <c r="O107" t="s">
        <v>324</v>
      </c>
      <c r="P107" t="s">
        <v>414</v>
      </c>
      <c r="Q107" t="s">
        <v>332</v>
      </c>
      <c r="R107" t="s">
        <v>428</v>
      </c>
      <c r="S107">
        <v>0</v>
      </c>
      <c r="T107">
        <v>0</v>
      </c>
      <c r="U107">
        <v>0</v>
      </c>
      <c r="V107">
        <v>0</v>
      </c>
      <c r="W107">
        <v>0</v>
      </c>
      <c r="X107">
        <v>3</v>
      </c>
      <c r="Y107">
        <v>0</v>
      </c>
      <c r="Z107">
        <v>0</v>
      </c>
      <c r="AA107">
        <v>0</v>
      </c>
      <c r="AB107">
        <v>0</v>
      </c>
      <c r="AC107">
        <v>0</v>
      </c>
      <c r="AD107">
        <v>3</v>
      </c>
      <c r="AE107">
        <v>0</v>
      </c>
      <c r="AF107">
        <v>0</v>
      </c>
      <c r="AG107">
        <v>0</v>
      </c>
      <c r="AH107">
        <v>0</v>
      </c>
      <c r="AI107">
        <v>0</v>
      </c>
      <c r="AJ107">
        <v>0</v>
      </c>
      <c r="AK107">
        <v>0</v>
      </c>
      <c r="AL107">
        <v>0</v>
      </c>
      <c r="AM107">
        <v>0</v>
      </c>
      <c r="AN107">
        <v>0</v>
      </c>
      <c r="AO107">
        <v>0</v>
      </c>
      <c r="AP107">
        <v>0</v>
      </c>
      <c r="AQ107">
        <v>0</v>
      </c>
      <c r="AR107">
        <v>0</v>
      </c>
      <c r="AS107">
        <v>0</v>
      </c>
      <c r="AT107">
        <v>0</v>
      </c>
      <c r="AU107" t="s">
        <v>242</v>
      </c>
      <c r="AV107" t="s">
        <v>457</v>
      </c>
      <c r="AW107" t="s">
        <v>328</v>
      </c>
      <c r="AX107" t="s">
        <v>458</v>
      </c>
      <c r="AY107">
        <v>77087</v>
      </c>
      <c r="AZ107">
        <v>48201333000</v>
      </c>
      <c r="BA107" t="s">
        <v>329</v>
      </c>
      <c r="BB107" t="s">
        <v>330</v>
      </c>
      <c r="BC107">
        <v>53378</v>
      </c>
      <c r="BD107">
        <v>2840</v>
      </c>
      <c r="BE107" t="s">
        <v>407</v>
      </c>
      <c r="BF107" t="s">
        <v>407</v>
      </c>
      <c r="BG107" t="s">
        <v>407</v>
      </c>
    </row>
    <row r="108" spans="1:59" x14ac:dyDescent="0.3">
      <c r="A108">
        <v>313414</v>
      </c>
      <c r="B108">
        <v>17570858</v>
      </c>
      <c r="C108">
        <v>2020</v>
      </c>
      <c r="D108" s="62">
        <v>43872</v>
      </c>
      <c r="E108">
        <v>7</v>
      </c>
      <c r="F108" t="s">
        <v>318</v>
      </c>
      <c r="G108" t="s">
        <v>319</v>
      </c>
      <c r="H108" t="s">
        <v>453</v>
      </c>
      <c r="I108" t="s">
        <v>427</v>
      </c>
      <c r="J108">
        <v>29.691314810000002</v>
      </c>
      <c r="K108">
        <v>-95.298783110000002</v>
      </c>
      <c r="L108" t="s">
        <v>430</v>
      </c>
      <c r="M108" t="s">
        <v>322</v>
      </c>
      <c r="N108" t="s">
        <v>429</v>
      </c>
      <c r="O108" t="s">
        <v>324</v>
      </c>
      <c r="P108" t="s">
        <v>283</v>
      </c>
      <c r="Q108" t="s">
        <v>331</v>
      </c>
      <c r="R108" t="s">
        <v>434</v>
      </c>
      <c r="S108">
        <v>0</v>
      </c>
      <c r="T108">
        <v>0</v>
      </c>
      <c r="U108">
        <v>0</v>
      </c>
      <c r="V108">
        <v>2</v>
      </c>
      <c r="W108">
        <v>2</v>
      </c>
      <c r="X108">
        <v>0</v>
      </c>
      <c r="Y108">
        <v>0</v>
      </c>
      <c r="Z108">
        <v>0</v>
      </c>
      <c r="AA108">
        <v>0</v>
      </c>
      <c r="AB108">
        <v>0</v>
      </c>
      <c r="AC108">
        <v>2</v>
      </c>
      <c r="AD108">
        <v>0</v>
      </c>
      <c r="AE108">
        <v>2</v>
      </c>
      <c r="AF108">
        <v>0</v>
      </c>
      <c r="AG108">
        <v>0</v>
      </c>
      <c r="AH108">
        <v>0</v>
      </c>
      <c r="AI108">
        <v>0</v>
      </c>
      <c r="AJ108">
        <v>0</v>
      </c>
      <c r="AK108">
        <v>0</v>
      </c>
      <c r="AL108">
        <v>0</v>
      </c>
      <c r="AM108">
        <v>0</v>
      </c>
      <c r="AN108">
        <v>0</v>
      </c>
      <c r="AO108">
        <v>0</v>
      </c>
      <c r="AP108">
        <v>0</v>
      </c>
      <c r="AQ108">
        <v>0</v>
      </c>
      <c r="AR108">
        <v>0</v>
      </c>
      <c r="AS108">
        <v>0</v>
      </c>
      <c r="AT108">
        <v>0</v>
      </c>
      <c r="AU108" t="s">
        <v>242</v>
      </c>
      <c r="AV108" t="s">
        <v>457</v>
      </c>
      <c r="AW108" t="s">
        <v>328</v>
      </c>
      <c r="AX108" t="s">
        <v>458</v>
      </c>
      <c r="AY108">
        <v>77087</v>
      </c>
      <c r="AZ108">
        <v>48201332900</v>
      </c>
      <c r="BA108" t="s">
        <v>329</v>
      </c>
      <c r="BB108" t="s">
        <v>330</v>
      </c>
      <c r="BC108">
        <v>54037</v>
      </c>
      <c r="BD108">
        <v>2892</v>
      </c>
      <c r="BE108" t="s">
        <v>407</v>
      </c>
      <c r="BF108" t="s">
        <v>407</v>
      </c>
      <c r="BG108" t="s">
        <v>407</v>
      </c>
    </row>
    <row r="109" spans="1:59" x14ac:dyDescent="0.3">
      <c r="A109">
        <v>318227</v>
      </c>
      <c r="B109">
        <v>17591342</v>
      </c>
      <c r="C109">
        <v>2020</v>
      </c>
      <c r="D109" s="62">
        <v>43887</v>
      </c>
      <c r="E109">
        <v>18</v>
      </c>
      <c r="F109" t="s">
        <v>405</v>
      </c>
      <c r="G109" t="s">
        <v>319</v>
      </c>
      <c r="H109" t="s">
        <v>473</v>
      </c>
      <c r="I109" t="s">
        <v>437</v>
      </c>
      <c r="J109">
        <v>29.67510352</v>
      </c>
      <c r="K109">
        <v>-95.289242439999995</v>
      </c>
      <c r="L109" t="s">
        <v>321</v>
      </c>
      <c r="M109" t="s">
        <v>431</v>
      </c>
      <c r="N109" t="s">
        <v>323</v>
      </c>
      <c r="O109" t="s">
        <v>324</v>
      </c>
      <c r="P109" t="s">
        <v>283</v>
      </c>
      <c r="Q109" t="s">
        <v>325</v>
      </c>
      <c r="R109" t="s">
        <v>326</v>
      </c>
      <c r="S109">
        <v>0</v>
      </c>
      <c r="T109">
        <v>0</v>
      </c>
      <c r="U109">
        <v>0</v>
      </c>
      <c r="V109">
        <v>1</v>
      </c>
      <c r="W109">
        <v>1</v>
      </c>
      <c r="X109">
        <v>1</v>
      </c>
      <c r="Y109">
        <v>0</v>
      </c>
      <c r="Z109">
        <v>0</v>
      </c>
      <c r="AA109">
        <v>0</v>
      </c>
      <c r="AB109">
        <v>0</v>
      </c>
      <c r="AC109">
        <v>1</v>
      </c>
      <c r="AD109">
        <v>1</v>
      </c>
      <c r="AE109">
        <v>1</v>
      </c>
      <c r="AF109">
        <v>0</v>
      </c>
      <c r="AG109">
        <v>0</v>
      </c>
      <c r="AH109">
        <v>0</v>
      </c>
      <c r="AI109">
        <v>0</v>
      </c>
      <c r="AJ109">
        <v>0</v>
      </c>
      <c r="AK109">
        <v>0</v>
      </c>
      <c r="AL109">
        <v>0</v>
      </c>
      <c r="AM109">
        <v>0</v>
      </c>
      <c r="AN109">
        <v>0</v>
      </c>
      <c r="AO109">
        <v>0</v>
      </c>
      <c r="AP109">
        <v>0</v>
      </c>
      <c r="AQ109">
        <v>0</v>
      </c>
      <c r="AR109">
        <v>0</v>
      </c>
      <c r="AS109">
        <v>0</v>
      </c>
      <c r="AT109">
        <v>0</v>
      </c>
      <c r="AU109" t="s">
        <v>242</v>
      </c>
      <c r="AV109" t="s">
        <v>457</v>
      </c>
      <c r="AW109" t="s">
        <v>328</v>
      </c>
      <c r="AX109" t="s">
        <v>458</v>
      </c>
      <c r="AY109">
        <v>77087</v>
      </c>
      <c r="AZ109">
        <v>48201333000</v>
      </c>
      <c r="BA109" t="s">
        <v>329</v>
      </c>
      <c r="BB109" t="s">
        <v>330</v>
      </c>
      <c r="BC109">
        <v>53378</v>
      </c>
      <c r="BD109">
        <v>2840</v>
      </c>
      <c r="BE109" t="s">
        <v>407</v>
      </c>
      <c r="BF109" t="s">
        <v>407</v>
      </c>
      <c r="BG109" t="s">
        <v>407</v>
      </c>
    </row>
    <row r="110" spans="1:59" x14ac:dyDescent="0.3">
      <c r="A110">
        <v>328031</v>
      </c>
      <c r="B110">
        <v>17632883</v>
      </c>
      <c r="C110">
        <v>2020</v>
      </c>
      <c r="D110" s="62">
        <v>43911</v>
      </c>
      <c r="E110">
        <v>17</v>
      </c>
      <c r="F110" t="s">
        <v>436</v>
      </c>
      <c r="G110" t="s">
        <v>319</v>
      </c>
      <c r="H110" t="s">
        <v>473</v>
      </c>
      <c r="I110" t="s">
        <v>419</v>
      </c>
      <c r="J110">
        <v>29.67510352</v>
      </c>
      <c r="K110">
        <v>-95.289242439999995</v>
      </c>
      <c r="L110" t="s">
        <v>430</v>
      </c>
      <c r="M110" t="s">
        <v>322</v>
      </c>
      <c r="N110" t="s">
        <v>323</v>
      </c>
      <c r="O110" t="s">
        <v>324</v>
      </c>
      <c r="P110" t="s">
        <v>414</v>
      </c>
      <c r="Q110" t="s">
        <v>332</v>
      </c>
      <c r="R110" t="s">
        <v>326</v>
      </c>
      <c r="S110">
        <v>0</v>
      </c>
      <c r="T110">
        <v>0</v>
      </c>
      <c r="U110">
        <v>0</v>
      </c>
      <c r="V110">
        <v>0</v>
      </c>
      <c r="W110">
        <v>0</v>
      </c>
      <c r="X110">
        <v>2</v>
      </c>
      <c r="Y110">
        <v>0</v>
      </c>
      <c r="Z110">
        <v>0</v>
      </c>
      <c r="AA110">
        <v>0</v>
      </c>
      <c r="AB110">
        <v>0</v>
      </c>
      <c r="AC110">
        <v>0</v>
      </c>
      <c r="AD110">
        <v>2</v>
      </c>
      <c r="AE110">
        <v>0</v>
      </c>
      <c r="AF110">
        <v>0</v>
      </c>
      <c r="AG110">
        <v>0</v>
      </c>
      <c r="AH110">
        <v>0</v>
      </c>
      <c r="AI110">
        <v>0</v>
      </c>
      <c r="AJ110">
        <v>0</v>
      </c>
      <c r="AK110">
        <v>0</v>
      </c>
      <c r="AL110">
        <v>0</v>
      </c>
      <c r="AM110">
        <v>0</v>
      </c>
      <c r="AN110">
        <v>0</v>
      </c>
      <c r="AO110">
        <v>0</v>
      </c>
      <c r="AP110">
        <v>0</v>
      </c>
      <c r="AQ110">
        <v>0</v>
      </c>
      <c r="AR110">
        <v>0</v>
      </c>
      <c r="AS110">
        <v>0</v>
      </c>
      <c r="AT110">
        <v>0</v>
      </c>
      <c r="AU110" t="s">
        <v>242</v>
      </c>
      <c r="AV110" t="s">
        <v>457</v>
      </c>
      <c r="AW110" t="s">
        <v>328</v>
      </c>
      <c r="AX110" t="s">
        <v>458</v>
      </c>
      <c r="AY110">
        <v>77087</v>
      </c>
      <c r="AZ110">
        <v>48201333000</v>
      </c>
      <c r="BA110" t="s">
        <v>329</v>
      </c>
      <c r="BB110" t="s">
        <v>330</v>
      </c>
      <c r="BC110">
        <v>53378</v>
      </c>
      <c r="BD110">
        <v>2840</v>
      </c>
      <c r="BE110" t="s">
        <v>407</v>
      </c>
      <c r="BF110" t="s">
        <v>407</v>
      </c>
      <c r="BG110" t="s">
        <v>407</v>
      </c>
    </row>
    <row r="111" spans="1:59" x14ac:dyDescent="0.3">
      <c r="A111">
        <v>333435</v>
      </c>
      <c r="B111">
        <v>17657014</v>
      </c>
      <c r="C111">
        <v>2020</v>
      </c>
      <c r="D111" s="62">
        <v>43934</v>
      </c>
      <c r="E111">
        <v>21</v>
      </c>
      <c r="F111" t="s">
        <v>417</v>
      </c>
      <c r="G111" t="s">
        <v>319</v>
      </c>
      <c r="H111" t="s">
        <v>473</v>
      </c>
      <c r="I111" t="s">
        <v>419</v>
      </c>
      <c r="J111">
        <v>29.674964719999998</v>
      </c>
      <c r="K111">
        <v>-95.289238679999997</v>
      </c>
      <c r="L111" t="s">
        <v>321</v>
      </c>
      <c r="M111" t="s">
        <v>424</v>
      </c>
      <c r="N111" t="s">
        <v>323</v>
      </c>
      <c r="O111" t="s">
        <v>324</v>
      </c>
      <c r="P111" t="s">
        <v>410</v>
      </c>
      <c r="Q111" t="s">
        <v>332</v>
      </c>
      <c r="R111" t="s">
        <v>326</v>
      </c>
      <c r="S111">
        <v>0</v>
      </c>
      <c r="T111">
        <v>0</v>
      </c>
      <c r="U111">
        <v>2</v>
      </c>
      <c r="V111">
        <v>0</v>
      </c>
      <c r="W111">
        <v>2</v>
      </c>
      <c r="X111">
        <v>2</v>
      </c>
      <c r="Y111">
        <v>0</v>
      </c>
      <c r="Z111">
        <v>0</v>
      </c>
      <c r="AA111">
        <v>0</v>
      </c>
      <c r="AB111">
        <v>2</v>
      </c>
      <c r="AC111">
        <v>0</v>
      </c>
      <c r="AD111">
        <v>2</v>
      </c>
      <c r="AE111">
        <v>2</v>
      </c>
      <c r="AF111">
        <v>0</v>
      </c>
      <c r="AG111">
        <v>0</v>
      </c>
      <c r="AH111">
        <v>0</v>
      </c>
      <c r="AI111">
        <v>0</v>
      </c>
      <c r="AJ111">
        <v>0</v>
      </c>
      <c r="AK111">
        <v>0</v>
      </c>
      <c r="AL111">
        <v>0</v>
      </c>
      <c r="AM111">
        <v>0</v>
      </c>
      <c r="AN111">
        <v>0</v>
      </c>
      <c r="AO111">
        <v>0</v>
      </c>
      <c r="AP111">
        <v>0</v>
      </c>
      <c r="AQ111">
        <v>0</v>
      </c>
      <c r="AR111">
        <v>0</v>
      </c>
      <c r="AS111">
        <v>0</v>
      </c>
      <c r="AT111">
        <v>0</v>
      </c>
      <c r="AU111" t="s">
        <v>242</v>
      </c>
      <c r="AV111" t="s">
        <v>457</v>
      </c>
      <c r="AW111" t="s">
        <v>328</v>
      </c>
      <c r="AX111" t="s">
        <v>458</v>
      </c>
      <c r="AY111">
        <v>77087</v>
      </c>
      <c r="AZ111">
        <v>48201333000</v>
      </c>
      <c r="BA111" t="s">
        <v>329</v>
      </c>
      <c r="BB111" t="s">
        <v>330</v>
      </c>
      <c r="BC111">
        <v>53378</v>
      </c>
      <c r="BD111">
        <v>2840</v>
      </c>
      <c r="BE111" t="s">
        <v>407</v>
      </c>
      <c r="BF111" t="s">
        <v>407</v>
      </c>
      <c r="BG111" t="s">
        <v>407</v>
      </c>
    </row>
    <row r="112" spans="1:59" x14ac:dyDescent="0.3">
      <c r="A112">
        <v>337596</v>
      </c>
      <c r="B112">
        <v>17674312</v>
      </c>
      <c r="C112">
        <v>2020</v>
      </c>
      <c r="D112" s="62">
        <v>43942</v>
      </c>
      <c r="E112">
        <v>15</v>
      </c>
      <c r="F112" t="s">
        <v>318</v>
      </c>
      <c r="G112" t="s">
        <v>319</v>
      </c>
      <c r="H112" t="s">
        <v>453</v>
      </c>
      <c r="I112" t="s">
        <v>437</v>
      </c>
      <c r="J112">
        <v>29.693386950000001</v>
      </c>
      <c r="K112">
        <v>-95.299306279999996</v>
      </c>
      <c r="L112" t="s">
        <v>321</v>
      </c>
      <c r="M112" t="s">
        <v>322</v>
      </c>
      <c r="N112" t="s">
        <v>444</v>
      </c>
      <c r="O112" t="s">
        <v>324</v>
      </c>
      <c r="P112" t="s">
        <v>414</v>
      </c>
      <c r="Q112" t="s">
        <v>278</v>
      </c>
      <c r="R112" t="s">
        <v>406</v>
      </c>
      <c r="S112">
        <v>0</v>
      </c>
      <c r="T112">
        <v>0</v>
      </c>
      <c r="U112">
        <v>0</v>
      </c>
      <c r="V112">
        <v>0</v>
      </c>
      <c r="W112">
        <v>0</v>
      </c>
      <c r="X112">
        <v>2</v>
      </c>
      <c r="Y112">
        <v>3</v>
      </c>
      <c r="Z112">
        <v>0</v>
      </c>
      <c r="AA112">
        <v>0</v>
      </c>
      <c r="AB112">
        <v>0</v>
      </c>
      <c r="AC112">
        <v>0</v>
      </c>
      <c r="AD112">
        <v>2</v>
      </c>
      <c r="AE112">
        <v>0</v>
      </c>
      <c r="AF112">
        <v>3</v>
      </c>
      <c r="AG112">
        <v>0</v>
      </c>
      <c r="AH112">
        <v>0</v>
      </c>
      <c r="AI112">
        <v>0</v>
      </c>
      <c r="AJ112">
        <v>0</v>
      </c>
      <c r="AK112">
        <v>0</v>
      </c>
      <c r="AL112">
        <v>0</v>
      </c>
      <c r="AM112">
        <v>0</v>
      </c>
      <c r="AN112">
        <v>0</v>
      </c>
      <c r="AO112">
        <v>0</v>
      </c>
      <c r="AP112">
        <v>0</v>
      </c>
      <c r="AQ112">
        <v>0</v>
      </c>
      <c r="AR112">
        <v>0</v>
      </c>
      <c r="AS112">
        <v>0</v>
      </c>
      <c r="AT112">
        <v>0</v>
      </c>
      <c r="AU112" t="s">
        <v>242</v>
      </c>
      <c r="AV112" t="s">
        <v>457</v>
      </c>
      <c r="AW112" t="s">
        <v>328</v>
      </c>
      <c r="AX112" t="s">
        <v>458</v>
      </c>
      <c r="AY112">
        <v>77087</v>
      </c>
      <c r="AZ112">
        <v>48201332900</v>
      </c>
      <c r="BA112" t="s">
        <v>329</v>
      </c>
      <c r="BB112" t="s">
        <v>330</v>
      </c>
      <c r="BC112">
        <v>54257</v>
      </c>
      <c r="BD112">
        <v>2892</v>
      </c>
      <c r="BE112" t="s">
        <v>407</v>
      </c>
      <c r="BF112" t="s">
        <v>407</v>
      </c>
      <c r="BG112" t="s">
        <v>407</v>
      </c>
    </row>
    <row r="113" spans="1:59" x14ac:dyDescent="0.3">
      <c r="A113">
        <v>346153</v>
      </c>
      <c r="B113">
        <v>17706908</v>
      </c>
      <c r="C113">
        <v>2020</v>
      </c>
      <c r="D113" s="62">
        <v>43984</v>
      </c>
      <c r="E113">
        <v>5</v>
      </c>
      <c r="F113" t="s">
        <v>318</v>
      </c>
      <c r="G113" t="s">
        <v>319</v>
      </c>
      <c r="H113" t="s">
        <v>453</v>
      </c>
      <c r="I113" t="s">
        <v>427</v>
      </c>
      <c r="J113">
        <v>29.691314810000002</v>
      </c>
      <c r="K113">
        <v>-95.298783110000002</v>
      </c>
      <c r="L113" t="s">
        <v>321</v>
      </c>
      <c r="M113" t="s">
        <v>322</v>
      </c>
      <c r="N113" t="s">
        <v>429</v>
      </c>
      <c r="O113" t="s">
        <v>324</v>
      </c>
      <c r="P113" t="s">
        <v>410</v>
      </c>
      <c r="Q113" t="s">
        <v>331</v>
      </c>
      <c r="R113" t="s">
        <v>447</v>
      </c>
      <c r="S113">
        <v>0</v>
      </c>
      <c r="T113">
        <v>0</v>
      </c>
      <c r="U113">
        <v>2</v>
      </c>
      <c r="V113">
        <v>0</v>
      </c>
      <c r="W113">
        <v>2</v>
      </c>
      <c r="X113">
        <v>3</v>
      </c>
      <c r="Y113">
        <v>0</v>
      </c>
      <c r="Z113">
        <v>0</v>
      </c>
      <c r="AA113">
        <v>0</v>
      </c>
      <c r="AB113">
        <v>2</v>
      </c>
      <c r="AC113">
        <v>0</v>
      </c>
      <c r="AD113">
        <v>3</v>
      </c>
      <c r="AE113">
        <v>2</v>
      </c>
      <c r="AF113">
        <v>0</v>
      </c>
      <c r="AG113">
        <v>0</v>
      </c>
      <c r="AH113">
        <v>0</v>
      </c>
      <c r="AI113">
        <v>0</v>
      </c>
      <c r="AJ113">
        <v>0</v>
      </c>
      <c r="AK113">
        <v>0</v>
      </c>
      <c r="AL113">
        <v>0</v>
      </c>
      <c r="AM113">
        <v>0</v>
      </c>
      <c r="AN113">
        <v>0</v>
      </c>
      <c r="AO113">
        <v>0</v>
      </c>
      <c r="AP113">
        <v>0</v>
      </c>
      <c r="AQ113">
        <v>0</v>
      </c>
      <c r="AR113">
        <v>0</v>
      </c>
      <c r="AS113">
        <v>0</v>
      </c>
      <c r="AT113">
        <v>0</v>
      </c>
      <c r="AU113" t="s">
        <v>242</v>
      </c>
      <c r="AV113" t="s">
        <v>457</v>
      </c>
      <c r="AW113" t="s">
        <v>328</v>
      </c>
      <c r="AX113" t="s">
        <v>458</v>
      </c>
      <c r="AY113">
        <v>77087</v>
      </c>
      <c r="AZ113">
        <v>48201332900</v>
      </c>
      <c r="BA113" t="s">
        <v>329</v>
      </c>
      <c r="BB113" t="s">
        <v>330</v>
      </c>
      <c r="BC113">
        <v>54037</v>
      </c>
      <c r="BD113">
        <v>2892</v>
      </c>
      <c r="BE113" t="s">
        <v>407</v>
      </c>
      <c r="BF113" t="s">
        <v>407</v>
      </c>
      <c r="BG113" t="s">
        <v>407</v>
      </c>
    </row>
    <row r="114" spans="1:59" x14ac:dyDescent="0.3">
      <c r="A114">
        <v>346684</v>
      </c>
      <c r="B114">
        <v>17709252</v>
      </c>
      <c r="C114">
        <v>2020</v>
      </c>
      <c r="D114" s="62">
        <v>43957</v>
      </c>
      <c r="E114">
        <v>21</v>
      </c>
      <c r="F114" t="s">
        <v>405</v>
      </c>
      <c r="G114" t="s">
        <v>319</v>
      </c>
      <c r="H114" t="s">
        <v>453</v>
      </c>
      <c r="I114" t="s">
        <v>437</v>
      </c>
      <c r="J114">
        <v>29.695344810000002</v>
      </c>
      <c r="K114">
        <v>-95.300293109999998</v>
      </c>
      <c r="L114" t="s">
        <v>321</v>
      </c>
      <c r="M114" t="s">
        <v>431</v>
      </c>
      <c r="N114" t="s">
        <v>438</v>
      </c>
      <c r="O114" t="s">
        <v>445</v>
      </c>
      <c r="P114" t="s">
        <v>414</v>
      </c>
      <c r="Q114" t="s">
        <v>332</v>
      </c>
      <c r="R114" t="s">
        <v>438</v>
      </c>
      <c r="S114">
        <v>0</v>
      </c>
      <c r="T114">
        <v>0</v>
      </c>
      <c r="U114">
        <v>0</v>
      </c>
      <c r="V114">
        <v>0</v>
      </c>
      <c r="W114">
        <v>0</v>
      </c>
      <c r="X114">
        <v>1</v>
      </c>
      <c r="Y114">
        <v>0</v>
      </c>
      <c r="Z114">
        <v>0</v>
      </c>
      <c r="AA114">
        <v>0</v>
      </c>
      <c r="AB114">
        <v>0</v>
      </c>
      <c r="AC114">
        <v>0</v>
      </c>
      <c r="AD114">
        <v>1</v>
      </c>
      <c r="AE114">
        <v>0</v>
      </c>
      <c r="AF114">
        <v>0</v>
      </c>
      <c r="AG114">
        <v>0</v>
      </c>
      <c r="AH114">
        <v>0</v>
      </c>
      <c r="AI114">
        <v>0</v>
      </c>
      <c r="AJ114">
        <v>0</v>
      </c>
      <c r="AK114">
        <v>0</v>
      </c>
      <c r="AL114">
        <v>0</v>
      </c>
      <c r="AM114">
        <v>0</v>
      </c>
      <c r="AN114">
        <v>0</v>
      </c>
      <c r="AO114">
        <v>0</v>
      </c>
      <c r="AP114">
        <v>0</v>
      </c>
      <c r="AQ114">
        <v>0</v>
      </c>
      <c r="AR114">
        <v>0</v>
      </c>
      <c r="AS114">
        <v>0</v>
      </c>
      <c r="AT114">
        <v>0</v>
      </c>
      <c r="AU114" t="s">
        <v>242</v>
      </c>
      <c r="AV114" t="s">
        <v>457</v>
      </c>
      <c r="AW114" t="s">
        <v>328</v>
      </c>
      <c r="AX114" t="s">
        <v>458</v>
      </c>
      <c r="AY114">
        <v>77087</v>
      </c>
      <c r="AZ114">
        <v>48201332800</v>
      </c>
      <c r="BA114" t="s">
        <v>329</v>
      </c>
      <c r="BB114" t="s">
        <v>330</v>
      </c>
      <c r="BC114">
        <v>54257</v>
      </c>
      <c r="BD114">
        <v>2892</v>
      </c>
      <c r="BE114" t="s">
        <v>407</v>
      </c>
      <c r="BF114" t="s">
        <v>407</v>
      </c>
      <c r="BG114" t="s">
        <v>407</v>
      </c>
    </row>
    <row r="115" spans="1:59" x14ac:dyDescent="0.3">
      <c r="A115">
        <v>352197</v>
      </c>
      <c r="B115">
        <v>17733222</v>
      </c>
      <c r="C115">
        <v>2020</v>
      </c>
      <c r="D115" s="62">
        <v>43988</v>
      </c>
      <c r="E115">
        <v>17</v>
      </c>
      <c r="F115" t="s">
        <v>436</v>
      </c>
      <c r="G115" t="s">
        <v>319</v>
      </c>
      <c r="H115" t="s">
        <v>453</v>
      </c>
      <c r="I115" t="s">
        <v>427</v>
      </c>
      <c r="J115">
        <v>29.693259080000001</v>
      </c>
      <c r="K115">
        <v>-95.299249450000005</v>
      </c>
      <c r="L115" t="s">
        <v>321</v>
      </c>
      <c r="M115" t="s">
        <v>322</v>
      </c>
      <c r="N115" t="s">
        <v>323</v>
      </c>
      <c r="O115" t="s">
        <v>324</v>
      </c>
      <c r="P115" t="s">
        <v>414</v>
      </c>
      <c r="Q115" t="s">
        <v>325</v>
      </c>
      <c r="R115" t="s">
        <v>481</v>
      </c>
      <c r="S115">
        <v>0</v>
      </c>
      <c r="T115">
        <v>0</v>
      </c>
      <c r="U115">
        <v>0</v>
      </c>
      <c r="V115">
        <v>0</v>
      </c>
      <c r="W115">
        <v>0</v>
      </c>
      <c r="X115">
        <v>2</v>
      </c>
      <c r="Y115">
        <v>0</v>
      </c>
      <c r="Z115">
        <v>0</v>
      </c>
      <c r="AA115">
        <v>0</v>
      </c>
      <c r="AB115">
        <v>0</v>
      </c>
      <c r="AC115">
        <v>0</v>
      </c>
      <c r="AD115">
        <v>2</v>
      </c>
      <c r="AE115">
        <v>0</v>
      </c>
      <c r="AF115">
        <v>0</v>
      </c>
      <c r="AG115">
        <v>0</v>
      </c>
      <c r="AH115">
        <v>0</v>
      </c>
      <c r="AI115">
        <v>0</v>
      </c>
      <c r="AJ115">
        <v>0</v>
      </c>
      <c r="AK115">
        <v>0</v>
      </c>
      <c r="AL115">
        <v>0</v>
      </c>
      <c r="AM115">
        <v>0</v>
      </c>
      <c r="AN115">
        <v>0</v>
      </c>
      <c r="AO115">
        <v>0</v>
      </c>
      <c r="AP115">
        <v>0</v>
      </c>
      <c r="AQ115">
        <v>0</v>
      </c>
      <c r="AR115">
        <v>0</v>
      </c>
      <c r="AS115">
        <v>0</v>
      </c>
      <c r="AT115">
        <v>0</v>
      </c>
      <c r="AU115" t="s">
        <v>242</v>
      </c>
      <c r="AV115" t="s">
        <v>457</v>
      </c>
      <c r="AW115" t="s">
        <v>328</v>
      </c>
      <c r="AX115" t="s">
        <v>458</v>
      </c>
      <c r="AY115">
        <v>77087</v>
      </c>
      <c r="AZ115">
        <v>48201332900</v>
      </c>
      <c r="BA115" t="s">
        <v>329</v>
      </c>
      <c r="BB115" t="s">
        <v>330</v>
      </c>
      <c r="BC115">
        <v>54037</v>
      </c>
      <c r="BD115">
        <v>2892</v>
      </c>
      <c r="BE115" t="s">
        <v>407</v>
      </c>
      <c r="BF115" t="s">
        <v>407</v>
      </c>
      <c r="BG115" t="s">
        <v>407</v>
      </c>
    </row>
    <row r="116" spans="1:59" x14ac:dyDescent="0.3">
      <c r="A116">
        <v>353074</v>
      </c>
      <c r="B116">
        <v>17737035</v>
      </c>
      <c r="C116">
        <v>2020</v>
      </c>
      <c r="D116" s="62">
        <v>43996</v>
      </c>
      <c r="E116">
        <v>13</v>
      </c>
      <c r="F116" t="s">
        <v>408</v>
      </c>
      <c r="G116" t="s">
        <v>319</v>
      </c>
      <c r="H116" t="s">
        <v>453</v>
      </c>
      <c r="I116" t="s">
        <v>411</v>
      </c>
      <c r="J116">
        <v>29.67905481</v>
      </c>
      <c r="K116">
        <v>-95.292363109999997</v>
      </c>
      <c r="L116" t="s">
        <v>321</v>
      </c>
      <c r="M116" t="s">
        <v>322</v>
      </c>
      <c r="N116" t="s">
        <v>323</v>
      </c>
      <c r="O116" t="s">
        <v>324</v>
      </c>
      <c r="P116" t="s">
        <v>414</v>
      </c>
      <c r="Q116" t="s">
        <v>332</v>
      </c>
      <c r="R116" t="s">
        <v>426</v>
      </c>
      <c r="S116">
        <v>0</v>
      </c>
      <c r="T116">
        <v>0</v>
      </c>
      <c r="U116">
        <v>0</v>
      </c>
      <c r="V116">
        <v>0</v>
      </c>
      <c r="W116">
        <v>0</v>
      </c>
      <c r="X116">
        <v>2</v>
      </c>
      <c r="Y116">
        <v>0</v>
      </c>
      <c r="Z116">
        <v>0</v>
      </c>
      <c r="AA116">
        <v>0</v>
      </c>
      <c r="AB116">
        <v>0</v>
      </c>
      <c r="AC116">
        <v>0</v>
      </c>
      <c r="AD116">
        <v>2</v>
      </c>
      <c r="AE116">
        <v>0</v>
      </c>
      <c r="AF116">
        <v>0</v>
      </c>
      <c r="AG116">
        <v>0</v>
      </c>
      <c r="AH116">
        <v>0</v>
      </c>
      <c r="AI116">
        <v>0</v>
      </c>
      <c r="AJ116">
        <v>0</v>
      </c>
      <c r="AK116">
        <v>0</v>
      </c>
      <c r="AL116">
        <v>0</v>
      </c>
      <c r="AM116">
        <v>0</v>
      </c>
      <c r="AN116">
        <v>0</v>
      </c>
      <c r="AO116">
        <v>0</v>
      </c>
      <c r="AP116">
        <v>0</v>
      </c>
      <c r="AQ116">
        <v>0</v>
      </c>
      <c r="AR116">
        <v>0</v>
      </c>
      <c r="AS116">
        <v>0</v>
      </c>
      <c r="AT116">
        <v>0</v>
      </c>
      <c r="AU116" t="s">
        <v>242</v>
      </c>
      <c r="AV116" t="s">
        <v>327</v>
      </c>
      <c r="AW116" t="s">
        <v>328</v>
      </c>
      <c r="AX116" t="s">
        <v>458</v>
      </c>
      <c r="AY116">
        <v>77087</v>
      </c>
      <c r="AZ116">
        <v>48201332600</v>
      </c>
      <c r="BA116" t="s">
        <v>329</v>
      </c>
      <c r="BB116" t="s">
        <v>330</v>
      </c>
      <c r="BC116">
        <v>158977</v>
      </c>
      <c r="BD116">
        <v>2840</v>
      </c>
      <c r="BE116" t="s">
        <v>407</v>
      </c>
      <c r="BF116" t="s">
        <v>407</v>
      </c>
      <c r="BG116" t="s">
        <v>407</v>
      </c>
    </row>
    <row r="117" spans="1:59" x14ac:dyDescent="0.3">
      <c r="A117">
        <v>356195</v>
      </c>
      <c r="B117">
        <v>17749852</v>
      </c>
      <c r="C117">
        <v>2020</v>
      </c>
      <c r="D117" s="62">
        <v>44009</v>
      </c>
      <c r="E117">
        <v>13</v>
      </c>
      <c r="F117" t="s">
        <v>436</v>
      </c>
      <c r="G117" t="s">
        <v>319</v>
      </c>
      <c r="H117" t="s">
        <v>453</v>
      </c>
      <c r="I117" t="s">
        <v>411</v>
      </c>
      <c r="J117">
        <v>29.68673527</v>
      </c>
      <c r="K117">
        <v>-95.297339690000001</v>
      </c>
      <c r="L117" t="s">
        <v>321</v>
      </c>
      <c r="M117" t="s">
        <v>322</v>
      </c>
      <c r="N117" t="s">
        <v>323</v>
      </c>
      <c r="O117" t="s">
        <v>324</v>
      </c>
      <c r="P117" t="s">
        <v>414</v>
      </c>
      <c r="Q117" t="s">
        <v>332</v>
      </c>
      <c r="R117" t="s">
        <v>406</v>
      </c>
      <c r="S117">
        <v>0</v>
      </c>
      <c r="T117">
        <v>0</v>
      </c>
      <c r="U117">
        <v>0</v>
      </c>
      <c r="V117">
        <v>0</v>
      </c>
      <c r="W117">
        <v>0</v>
      </c>
      <c r="X117">
        <v>4</v>
      </c>
      <c r="Y117">
        <v>0</v>
      </c>
      <c r="Z117">
        <v>0</v>
      </c>
      <c r="AA117">
        <v>0</v>
      </c>
      <c r="AB117">
        <v>0</v>
      </c>
      <c r="AC117">
        <v>0</v>
      </c>
      <c r="AD117">
        <v>4</v>
      </c>
      <c r="AE117">
        <v>0</v>
      </c>
      <c r="AF117">
        <v>0</v>
      </c>
      <c r="AG117">
        <v>0</v>
      </c>
      <c r="AH117">
        <v>0</v>
      </c>
      <c r="AI117">
        <v>0</v>
      </c>
      <c r="AJ117">
        <v>0</v>
      </c>
      <c r="AK117">
        <v>0</v>
      </c>
      <c r="AL117">
        <v>0</v>
      </c>
      <c r="AM117">
        <v>0</v>
      </c>
      <c r="AN117">
        <v>0</v>
      </c>
      <c r="AO117">
        <v>0</v>
      </c>
      <c r="AP117">
        <v>0</v>
      </c>
      <c r="AQ117">
        <v>0</v>
      </c>
      <c r="AR117">
        <v>0</v>
      </c>
      <c r="AS117">
        <v>0</v>
      </c>
      <c r="AT117">
        <v>0</v>
      </c>
      <c r="AU117" t="s">
        <v>242</v>
      </c>
      <c r="AV117" t="s">
        <v>457</v>
      </c>
      <c r="AW117" t="s">
        <v>328</v>
      </c>
      <c r="AX117" t="s">
        <v>458</v>
      </c>
      <c r="AY117">
        <v>77087</v>
      </c>
      <c r="AZ117">
        <v>48201332800</v>
      </c>
      <c r="BA117" t="s">
        <v>329</v>
      </c>
      <c r="BB117" t="s">
        <v>330</v>
      </c>
      <c r="BC117">
        <v>53817</v>
      </c>
      <c r="BD117">
        <v>2892</v>
      </c>
      <c r="BE117" t="s">
        <v>407</v>
      </c>
      <c r="BF117" t="s">
        <v>407</v>
      </c>
      <c r="BG117" t="s">
        <v>407</v>
      </c>
    </row>
    <row r="118" spans="1:59" x14ac:dyDescent="0.3">
      <c r="A118">
        <v>361294</v>
      </c>
      <c r="B118">
        <v>17770844</v>
      </c>
      <c r="C118">
        <v>2020</v>
      </c>
      <c r="D118" s="62">
        <v>44025</v>
      </c>
      <c r="E118">
        <v>9</v>
      </c>
      <c r="F118" t="s">
        <v>417</v>
      </c>
      <c r="G118" t="s">
        <v>319</v>
      </c>
      <c r="H118" t="s">
        <v>453</v>
      </c>
      <c r="I118" t="s">
        <v>427</v>
      </c>
      <c r="J118">
        <v>29.692264810000001</v>
      </c>
      <c r="K118">
        <v>-95.298853109999996</v>
      </c>
      <c r="L118" t="s">
        <v>321</v>
      </c>
      <c r="M118" t="s">
        <v>322</v>
      </c>
      <c r="N118" t="s">
        <v>422</v>
      </c>
      <c r="O118" t="s">
        <v>324</v>
      </c>
      <c r="P118" t="s">
        <v>283</v>
      </c>
      <c r="Q118" t="s">
        <v>278</v>
      </c>
      <c r="R118" t="s">
        <v>434</v>
      </c>
      <c r="S118">
        <v>0</v>
      </c>
      <c r="T118">
        <v>0</v>
      </c>
      <c r="U118">
        <v>0</v>
      </c>
      <c r="V118">
        <v>1</v>
      </c>
      <c r="W118">
        <v>1</v>
      </c>
      <c r="X118">
        <v>1</v>
      </c>
      <c r="Y118">
        <v>0</v>
      </c>
      <c r="Z118">
        <v>0</v>
      </c>
      <c r="AA118">
        <v>0</v>
      </c>
      <c r="AB118">
        <v>0</v>
      </c>
      <c r="AC118">
        <v>1</v>
      </c>
      <c r="AD118">
        <v>1</v>
      </c>
      <c r="AE118">
        <v>1</v>
      </c>
      <c r="AF118">
        <v>0</v>
      </c>
      <c r="AG118">
        <v>0</v>
      </c>
      <c r="AH118">
        <v>0</v>
      </c>
      <c r="AI118">
        <v>0</v>
      </c>
      <c r="AJ118">
        <v>0</v>
      </c>
      <c r="AK118">
        <v>0</v>
      </c>
      <c r="AL118">
        <v>0</v>
      </c>
      <c r="AM118">
        <v>0</v>
      </c>
      <c r="AN118">
        <v>0</v>
      </c>
      <c r="AO118">
        <v>0</v>
      </c>
      <c r="AP118">
        <v>0</v>
      </c>
      <c r="AQ118">
        <v>0</v>
      </c>
      <c r="AR118">
        <v>0</v>
      </c>
      <c r="AS118">
        <v>0</v>
      </c>
      <c r="AT118">
        <v>0</v>
      </c>
      <c r="AU118" t="s">
        <v>242</v>
      </c>
      <c r="AV118" t="s">
        <v>457</v>
      </c>
      <c r="AW118" t="s">
        <v>328</v>
      </c>
      <c r="AX118" t="s">
        <v>458</v>
      </c>
      <c r="AY118">
        <v>77087</v>
      </c>
      <c r="AZ118">
        <v>48201332900</v>
      </c>
      <c r="BA118" t="s">
        <v>329</v>
      </c>
      <c r="BB118" t="s">
        <v>330</v>
      </c>
      <c r="BC118">
        <v>54037</v>
      </c>
      <c r="BD118">
        <v>2892</v>
      </c>
      <c r="BE118" t="s">
        <v>407</v>
      </c>
      <c r="BF118" t="s">
        <v>407</v>
      </c>
      <c r="BG118" t="s">
        <v>407</v>
      </c>
    </row>
    <row r="119" spans="1:59" x14ac:dyDescent="0.3">
      <c r="A119">
        <v>362195</v>
      </c>
      <c r="B119">
        <v>17774633</v>
      </c>
      <c r="C119">
        <v>2020</v>
      </c>
      <c r="D119" s="62">
        <v>44021</v>
      </c>
      <c r="E119">
        <v>10</v>
      </c>
      <c r="F119" t="s">
        <v>425</v>
      </c>
      <c r="G119" t="s">
        <v>319</v>
      </c>
      <c r="H119" t="s">
        <v>453</v>
      </c>
      <c r="I119" t="s">
        <v>411</v>
      </c>
      <c r="J119">
        <v>29.692210710000001</v>
      </c>
      <c r="K119">
        <v>-95.298845150000005</v>
      </c>
      <c r="L119" t="s">
        <v>321</v>
      </c>
      <c r="M119" t="s">
        <v>322</v>
      </c>
      <c r="N119" t="s">
        <v>429</v>
      </c>
      <c r="O119" t="s">
        <v>324</v>
      </c>
      <c r="P119" t="s">
        <v>283</v>
      </c>
      <c r="Q119" t="s">
        <v>278</v>
      </c>
      <c r="R119" t="s">
        <v>406</v>
      </c>
      <c r="S119">
        <v>0</v>
      </c>
      <c r="T119">
        <v>0</v>
      </c>
      <c r="U119">
        <v>0</v>
      </c>
      <c r="V119">
        <v>2</v>
      </c>
      <c r="W119">
        <v>2</v>
      </c>
      <c r="X119">
        <v>0</v>
      </c>
      <c r="Y119">
        <v>0</v>
      </c>
      <c r="Z119">
        <v>0</v>
      </c>
      <c r="AA119">
        <v>0</v>
      </c>
      <c r="AB119">
        <v>0</v>
      </c>
      <c r="AC119">
        <v>2</v>
      </c>
      <c r="AD119">
        <v>0</v>
      </c>
      <c r="AE119">
        <v>2</v>
      </c>
      <c r="AF119">
        <v>0</v>
      </c>
      <c r="AG119">
        <v>0</v>
      </c>
      <c r="AH119">
        <v>0</v>
      </c>
      <c r="AI119">
        <v>0</v>
      </c>
      <c r="AJ119">
        <v>0</v>
      </c>
      <c r="AK119">
        <v>0</v>
      </c>
      <c r="AL119">
        <v>0</v>
      </c>
      <c r="AM119">
        <v>0</v>
      </c>
      <c r="AN119">
        <v>0</v>
      </c>
      <c r="AO119">
        <v>0</v>
      </c>
      <c r="AP119">
        <v>0</v>
      </c>
      <c r="AQ119">
        <v>0</v>
      </c>
      <c r="AR119">
        <v>0</v>
      </c>
      <c r="AS119">
        <v>0</v>
      </c>
      <c r="AT119">
        <v>0</v>
      </c>
      <c r="AU119" t="s">
        <v>242</v>
      </c>
      <c r="AV119" t="s">
        <v>457</v>
      </c>
      <c r="AW119" t="s">
        <v>328</v>
      </c>
      <c r="AX119" t="s">
        <v>458</v>
      </c>
      <c r="AY119">
        <v>77087</v>
      </c>
      <c r="AZ119">
        <v>48201332900</v>
      </c>
      <c r="BA119" t="s">
        <v>329</v>
      </c>
      <c r="BB119" t="s">
        <v>330</v>
      </c>
      <c r="BC119">
        <v>54037</v>
      </c>
      <c r="BD119">
        <v>2892</v>
      </c>
      <c r="BE119" t="s">
        <v>407</v>
      </c>
      <c r="BF119" t="s">
        <v>407</v>
      </c>
      <c r="BG119" t="s">
        <v>407</v>
      </c>
    </row>
    <row r="120" spans="1:59" x14ac:dyDescent="0.3">
      <c r="A120">
        <v>362668</v>
      </c>
      <c r="B120">
        <v>17776724</v>
      </c>
      <c r="C120">
        <v>2020</v>
      </c>
      <c r="D120" s="62">
        <v>44028</v>
      </c>
      <c r="E120">
        <v>5</v>
      </c>
      <c r="F120" t="s">
        <v>425</v>
      </c>
      <c r="G120" t="s">
        <v>319</v>
      </c>
      <c r="H120" t="s">
        <v>482</v>
      </c>
      <c r="I120" t="s">
        <v>427</v>
      </c>
      <c r="J120">
        <v>29.681486459999999</v>
      </c>
      <c r="K120">
        <v>-95.293882199999999</v>
      </c>
      <c r="L120" t="s">
        <v>321</v>
      </c>
      <c r="M120" t="s">
        <v>431</v>
      </c>
      <c r="N120" t="s">
        <v>422</v>
      </c>
      <c r="O120" t="s">
        <v>445</v>
      </c>
      <c r="P120" t="s">
        <v>414</v>
      </c>
      <c r="Q120" t="s">
        <v>332</v>
      </c>
      <c r="R120" t="s">
        <v>434</v>
      </c>
      <c r="S120">
        <v>0</v>
      </c>
      <c r="T120">
        <v>0</v>
      </c>
      <c r="U120">
        <v>0</v>
      </c>
      <c r="V120">
        <v>0</v>
      </c>
      <c r="W120">
        <v>0</v>
      </c>
      <c r="X120">
        <v>1</v>
      </c>
      <c r="Y120">
        <v>0</v>
      </c>
      <c r="Z120">
        <v>0</v>
      </c>
      <c r="AA120">
        <v>0</v>
      </c>
      <c r="AB120">
        <v>0</v>
      </c>
      <c r="AC120">
        <v>0</v>
      </c>
      <c r="AD120">
        <v>1</v>
      </c>
      <c r="AE120">
        <v>0</v>
      </c>
      <c r="AF120">
        <v>0</v>
      </c>
      <c r="AG120">
        <v>0</v>
      </c>
      <c r="AH120">
        <v>0</v>
      </c>
      <c r="AI120">
        <v>0</v>
      </c>
      <c r="AJ120">
        <v>0</v>
      </c>
      <c r="AK120">
        <v>0</v>
      </c>
      <c r="AL120">
        <v>0</v>
      </c>
      <c r="AM120">
        <v>0</v>
      </c>
      <c r="AN120">
        <v>0</v>
      </c>
      <c r="AO120">
        <v>0</v>
      </c>
      <c r="AP120">
        <v>0</v>
      </c>
      <c r="AQ120">
        <v>0</v>
      </c>
      <c r="AR120">
        <v>0</v>
      </c>
      <c r="AS120">
        <v>0</v>
      </c>
      <c r="AT120">
        <v>0</v>
      </c>
      <c r="AU120" t="s">
        <v>242</v>
      </c>
      <c r="AV120" t="s">
        <v>457</v>
      </c>
      <c r="AW120" t="s">
        <v>328</v>
      </c>
      <c r="AX120" t="s">
        <v>458</v>
      </c>
      <c r="AY120">
        <v>77087</v>
      </c>
      <c r="AZ120">
        <v>48201333000</v>
      </c>
      <c r="BA120" t="s">
        <v>329</v>
      </c>
      <c r="BB120" t="s">
        <v>330</v>
      </c>
      <c r="BC120">
        <v>158977</v>
      </c>
      <c r="BD120">
        <v>2840</v>
      </c>
      <c r="BE120" t="s">
        <v>407</v>
      </c>
      <c r="BF120" t="s">
        <v>407</v>
      </c>
      <c r="BG120" t="s">
        <v>407</v>
      </c>
    </row>
    <row r="121" spans="1:59" x14ac:dyDescent="0.3">
      <c r="A121">
        <v>367667</v>
      </c>
      <c r="B121">
        <v>17796410</v>
      </c>
      <c r="C121">
        <v>2020</v>
      </c>
      <c r="D121" s="62">
        <v>44037</v>
      </c>
      <c r="E121">
        <v>11</v>
      </c>
      <c r="F121" t="s">
        <v>436</v>
      </c>
      <c r="G121" t="s">
        <v>319</v>
      </c>
      <c r="H121" t="s">
        <v>453</v>
      </c>
      <c r="I121" t="s">
        <v>411</v>
      </c>
      <c r="J121">
        <v>29.691314810000002</v>
      </c>
      <c r="K121">
        <v>-95.298783110000002</v>
      </c>
      <c r="L121" t="s">
        <v>420</v>
      </c>
      <c r="M121" t="s">
        <v>322</v>
      </c>
      <c r="N121" t="s">
        <v>429</v>
      </c>
      <c r="O121" t="s">
        <v>324</v>
      </c>
      <c r="P121" t="s">
        <v>283</v>
      </c>
      <c r="Q121" t="s">
        <v>331</v>
      </c>
      <c r="R121" t="s">
        <v>406</v>
      </c>
      <c r="S121">
        <v>0</v>
      </c>
      <c r="T121">
        <v>0</v>
      </c>
      <c r="U121">
        <v>0</v>
      </c>
      <c r="V121">
        <v>4</v>
      </c>
      <c r="W121">
        <v>4</v>
      </c>
      <c r="X121">
        <v>2</v>
      </c>
      <c r="Y121">
        <v>0</v>
      </c>
      <c r="Z121">
        <v>0</v>
      </c>
      <c r="AA121">
        <v>0</v>
      </c>
      <c r="AB121">
        <v>0</v>
      </c>
      <c r="AC121">
        <v>4</v>
      </c>
      <c r="AD121">
        <v>2</v>
      </c>
      <c r="AE121">
        <v>4</v>
      </c>
      <c r="AF121">
        <v>0</v>
      </c>
      <c r="AG121">
        <v>0</v>
      </c>
      <c r="AH121">
        <v>0</v>
      </c>
      <c r="AI121">
        <v>0</v>
      </c>
      <c r="AJ121">
        <v>0</v>
      </c>
      <c r="AK121">
        <v>0</v>
      </c>
      <c r="AL121">
        <v>0</v>
      </c>
      <c r="AM121">
        <v>0</v>
      </c>
      <c r="AN121">
        <v>0</v>
      </c>
      <c r="AO121">
        <v>0</v>
      </c>
      <c r="AP121">
        <v>0</v>
      </c>
      <c r="AQ121">
        <v>0</v>
      </c>
      <c r="AR121">
        <v>0</v>
      </c>
      <c r="AS121">
        <v>0</v>
      </c>
      <c r="AT121">
        <v>0</v>
      </c>
      <c r="AU121" t="s">
        <v>242</v>
      </c>
      <c r="AV121" t="s">
        <v>457</v>
      </c>
      <c r="AW121" t="s">
        <v>328</v>
      </c>
      <c r="AX121" t="s">
        <v>458</v>
      </c>
      <c r="AY121">
        <v>77087</v>
      </c>
      <c r="AZ121">
        <v>48201332900</v>
      </c>
      <c r="BA121" t="s">
        <v>329</v>
      </c>
      <c r="BB121" t="s">
        <v>330</v>
      </c>
      <c r="BC121">
        <v>54037</v>
      </c>
      <c r="BD121">
        <v>2892</v>
      </c>
      <c r="BE121" t="s">
        <v>407</v>
      </c>
      <c r="BF121" t="s">
        <v>407</v>
      </c>
      <c r="BG121" t="s">
        <v>407</v>
      </c>
    </row>
    <row r="122" spans="1:59" x14ac:dyDescent="0.3">
      <c r="A122">
        <v>367795</v>
      </c>
      <c r="B122">
        <v>17796575</v>
      </c>
      <c r="C122">
        <v>2020</v>
      </c>
      <c r="D122" s="62">
        <v>44038</v>
      </c>
      <c r="E122">
        <v>3</v>
      </c>
      <c r="F122" t="s">
        <v>408</v>
      </c>
      <c r="G122" t="s">
        <v>319</v>
      </c>
      <c r="H122" t="s">
        <v>453</v>
      </c>
      <c r="I122" t="s">
        <v>411</v>
      </c>
      <c r="J122">
        <v>29.69467663</v>
      </c>
      <c r="K122">
        <v>-95.299896739999994</v>
      </c>
      <c r="L122" t="s">
        <v>420</v>
      </c>
      <c r="M122" t="s">
        <v>431</v>
      </c>
      <c r="N122" t="s">
        <v>444</v>
      </c>
      <c r="O122" t="s">
        <v>324</v>
      </c>
      <c r="P122" t="s">
        <v>441</v>
      </c>
      <c r="Q122" t="s">
        <v>331</v>
      </c>
      <c r="R122" t="s">
        <v>439</v>
      </c>
      <c r="S122">
        <v>0</v>
      </c>
      <c r="T122">
        <v>1</v>
      </c>
      <c r="U122">
        <v>0</v>
      </c>
      <c r="V122">
        <v>1</v>
      </c>
      <c r="W122">
        <v>2</v>
      </c>
      <c r="X122">
        <v>0</v>
      </c>
      <c r="Y122">
        <v>0</v>
      </c>
      <c r="Z122">
        <v>0</v>
      </c>
      <c r="AA122">
        <v>1</v>
      </c>
      <c r="AB122">
        <v>0</v>
      </c>
      <c r="AC122">
        <v>1</v>
      </c>
      <c r="AD122">
        <v>0</v>
      </c>
      <c r="AE122">
        <v>2</v>
      </c>
      <c r="AF122">
        <v>0</v>
      </c>
      <c r="AG122">
        <v>0</v>
      </c>
      <c r="AH122">
        <v>0</v>
      </c>
      <c r="AI122">
        <v>0</v>
      </c>
      <c r="AJ122">
        <v>0</v>
      </c>
      <c r="AK122">
        <v>0</v>
      </c>
      <c r="AL122">
        <v>0</v>
      </c>
      <c r="AM122">
        <v>0</v>
      </c>
      <c r="AN122">
        <v>0</v>
      </c>
      <c r="AO122">
        <v>0</v>
      </c>
      <c r="AP122">
        <v>0</v>
      </c>
      <c r="AQ122">
        <v>0</v>
      </c>
      <c r="AR122">
        <v>0</v>
      </c>
      <c r="AS122">
        <v>0</v>
      </c>
      <c r="AT122">
        <v>0</v>
      </c>
      <c r="AU122" t="s">
        <v>242</v>
      </c>
      <c r="AV122" t="s">
        <v>457</v>
      </c>
      <c r="AW122" t="s">
        <v>328</v>
      </c>
      <c r="AX122" t="s">
        <v>458</v>
      </c>
      <c r="AY122">
        <v>77087</v>
      </c>
      <c r="AZ122">
        <v>48201332800</v>
      </c>
      <c r="BA122" t="s">
        <v>329</v>
      </c>
      <c r="BB122" t="s">
        <v>330</v>
      </c>
      <c r="BC122">
        <v>54257</v>
      </c>
      <c r="BD122">
        <v>2892</v>
      </c>
      <c r="BE122" t="s">
        <v>407</v>
      </c>
      <c r="BF122" t="s">
        <v>407</v>
      </c>
      <c r="BG122" t="s">
        <v>407</v>
      </c>
    </row>
    <row r="123" spans="1:59" x14ac:dyDescent="0.3">
      <c r="A123">
        <v>373187</v>
      </c>
      <c r="B123">
        <v>17818362</v>
      </c>
      <c r="C123">
        <v>2020</v>
      </c>
      <c r="D123" s="62">
        <v>44051</v>
      </c>
      <c r="E123">
        <v>15</v>
      </c>
      <c r="F123" t="s">
        <v>436</v>
      </c>
      <c r="G123" t="s">
        <v>319</v>
      </c>
      <c r="H123" t="s">
        <v>473</v>
      </c>
      <c r="I123" t="s">
        <v>427</v>
      </c>
      <c r="J123">
        <v>29.67510352</v>
      </c>
      <c r="K123">
        <v>-95.289242439999995</v>
      </c>
      <c r="L123" t="s">
        <v>321</v>
      </c>
      <c r="M123" t="s">
        <v>322</v>
      </c>
      <c r="N123" t="s">
        <v>323</v>
      </c>
      <c r="O123" t="s">
        <v>324</v>
      </c>
      <c r="P123" t="s">
        <v>414</v>
      </c>
      <c r="Q123" t="s">
        <v>325</v>
      </c>
      <c r="R123" t="s">
        <v>406</v>
      </c>
      <c r="S123">
        <v>0</v>
      </c>
      <c r="T123">
        <v>0</v>
      </c>
      <c r="U123">
        <v>0</v>
      </c>
      <c r="V123">
        <v>0</v>
      </c>
      <c r="W123">
        <v>0</v>
      </c>
      <c r="X123">
        <v>7</v>
      </c>
      <c r="Y123">
        <v>0</v>
      </c>
      <c r="Z123">
        <v>0</v>
      </c>
      <c r="AA123">
        <v>0</v>
      </c>
      <c r="AB123">
        <v>0</v>
      </c>
      <c r="AC123">
        <v>0</v>
      </c>
      <c r="AD123">
        <v>7</v>
      </c>
      <c r="AE123">
        <v>0</v>
      </c>
      <c r="AF123">
        <v>0</v>
      </c>
      <c r="AG123">
        <v>0</v>
      </c>
      <c r="AH123">
        <v>0</v>
      </c>
      <c r="AI123">
        <v>0</v>
      </c>
      <c r="AJ123">
        <v>0</v>
      </c>
      <c r="AK123">
        <v>0</v>
      </c>
      <c r="AL123">
        <v>0</v>
      </c>
      <c r="AM123">
        <v>0</v>
      </c>
      <c r="AN123">
        <v>0</v>
      </c>
      <c r="AO123">
        <v>0</v>
      </c>
      <c r="AP123">
        <v>0</v>
      </c>
      <c r="AQ123">
        <v>0</v>
      </c>
      <c r="AR123">
        <v>0</v>
      </c>
      <c r="AS123">
        <v>0</v>
      </c>
      <c r="AT123">
        <v>0</v>
      </c>
      <c r="AU123" t="s">
        <v>242</v>
      </c>
      <c r="AV123" t="s">
        <v>457</v>
      </c>
      <c r="AW123" t="s">
        <v>328</v>
      </c>
      <c r="AX123" t="s">
        <v>458</v>
      </c>
      <c r="AY123">
        <v>77087</v>
      </c>
      <c r="AZ123">
        <v>48201333000</v>
      </c>
      <c r="BA123" t="s">
        <v>329</v>
      </c>
      <c r="BB123" t="s">
        <v>330</v>
      </c>
      <c r="BC123">
        <v>53378</v>
      </c>
      <c r="BD123">
        <v>2840</v>
      </c>
      <c r="BE123" t="s">
        <v>407</v>
      </c>
      <c r="BF123" t="s">
        <v>407</v>
      </c>
      <c r="BG123" t="s">
        <v>407</v>
      </c>
    </row>
    <row r="124" spans="1:59" x14ac:dyDescent="0.3">
      <c r="A124">
        <v>374926</v>
      </c>
      <c r="B124">
        <v>17825332</v>
      </c>
      <c r="C124">
        <v>2020</v>
      </c>
      <c r="D124" s="62">
        <v>44064</v>
      </c>
      <c r="E124">
        <v>10</v>
      </c>
      <c r="F124" t="s">
        <v>418</v>
      </c>
      <c r="G124" t="s">
        <v>319</v>
      </c>
      <c r="H124" t="s">
        <v>453</v>
      </c>
      <c r="I124" t="s">
        <v>411</v>
      </c>
      <c r="J124">
        <v>29.692566360000001</v>
      </c>
      <c r="K124">
        <v>-95.298948060000001</v>
      </c>
      <c r="L124" t="s">
        <v>321</v>
      </c>
      <c r="M124" t="s">
        <v>322</v>
      </c>
      <c r="N124" t="s">
        <v>422</v>
      </c>
      <c r="O124" t="s">
        <v>324</v>
      </c>
      <c r="P124" t="s">
        <v>414</v>
      </c>
      <c r="Q124" t="s">
        <v>278</v>
      </c>
      <c r="R124" t="s">
        <v>406</v>
      </c>
      <c r="S124">
        <v>0</v>
      </c>
      <c r="T124">
        <v>0</v>
      </c>
      <c r="U124">
        <v>0</v>
      </c>
      <c r="V124">
        <v>0</v>
      </c>
      <c r="W124">
        <v>0</v>
      </c>
      <c r="X124">
        <v>2</v>
      </c>
      <c r="Y124">
        <v>0</v>
      </c>
      <c r="Z124">
        <v>0</v>
      </c>
      <c r="AA124">
        <v>0</v>
      </c>
      <c r="AB124">
        <v>0</v>
      </c>
      <c r="AC124">
        <v>0</v>
      </c>
      <c r="AD124">
        <v>2</v>
      </c>
      <c r="AE124">
        <v>0</v>
      </c>
      <c r="AF124">
        <v>0</v>
      </c>
      <c r="AG124">
        <v>0</v>
      </c>
      <c r="AH124">
        <v>0</v>
      </c>
      <c r="AI124">
        <v>0</v>
      </c>
      <c r="AJ124">
        <v>0</v>
      </c>
      <c r="AK124">
        <v>0</v>
      </c>
      <c r="AL124">
        <v>0</v>
      </c>
      <c r="AM124">
        <v>0</v>
      </c>
      <c r="AN124">
        <v>0</v>
      </c>
      <c r="AO124">
        <v>0</v>
      </c>
      <c r="AP124">
        <v>0</v>
      </c>
      <c r="AQ124">
        <v>0</v>
      </c>
      <c r="AR124">
        <v>0</v>
      </c>
      <c r="AS124">
        <v>0</v>
      </c>
      <c r="AT124">
        <v>0</v>
      </c>
      <c r="AU124" t="s">
        <v>242</v>
      </c>
      <c r="AV124" t="s">
        <v>457</v>
      </c>
      <c r="AW124" t="s">
        <v>328</v>
      </c>
      <c r="AX124" t="s">
        <v>458</v>
      </c>
      <c r="AY124">
        <v>77087</v>
      </c>
      <c r="AZ124">
        <v>48201332900</v>
      </c>
      <c r="BA124" t="s">
        <v>329</v>
      </c>
      <c r="BB124" t="s">
        <v>330</v>
      </c>
      <c r="BC124">
        <v>54037</v>
      </c>
      <c r="BD124">
        <v>2892</v>
      </c>
      <c r="BE124" t="s">
        <v>407</v>
      </c>
      <c r="BF124" t="s">
        <v>407</v>
      </c>
      <c r="BG124" t="s">
        <v>407</v>
      </c>
    </row>
    <row r="125" spans="1:59" x14ac:dyDescent="0.3">
      <c r="A125">
        <v>383519</v>
      </c>
      <c r="B125">
        <v>17862100</v>
      </c>
      <c r="C125">
        <v>2020</v>
      </c>
      <c r="D125" s="62">
        <v>44087</v>
      </c>
      <c r="E125">
        <v>11</v>
      </c>
      <c r="F125" t="s">
        <v>408</v>
      </c>
      <c r="G125" t="s">
        <v>491</v>
      </c>
      <c r="H125" t="s">
        <v>453</v>
      </c>
      <c r="I125" t="s">
        <v>446</v>
      </c>
      <c r="J125">
        <v>29.692746140000001</v>
      </c>
      <c r="K125">
        <v>-95.299025299999997</v>
      </c>
      <c r="L125" t="s">
        <v>321</v>
      </c>
      <c r="M125" t="s">
        <v>322</v>
      </c>
      <c r="N125" t="s">
        <v>323</v>
      </c>
      <c r="O125" t="s">
        <v>324</v>
      </c>
      <c r="P125" t="s">
        <v>283</v>
      </c>
      <c r="Q125" t="s">
        <v>325</v>
      </c>
      <c r="R125" t="s">
        <v>412</v>
      </c>
      <c r="S125">
        <v>0</v>
      </c>
      <c r="T125">
        <v>0</v>
      </c>
      <c r="U125">
        <v>0</v>
      </c>
      <c r="V125">
        <v>1</v>
      </c>
      <c r="W125">
        <v>1</v>
      </c>
      <c r="X125">
        <v>2</v>
      </c>
      <c r="Y125">
        <v>0</v>
      </c>
      <c r="Z125">
        <v>0</v>
      </c>
      <c r="AA125">
        <v>0</v>
      </c>
      <c r="AB125">
        <v>0</v>
      </c>
      <c r="AC125">
        <v>1</v>
      </c>
      <c r="AD125">
        <v>2</v>
      </c>
      <c r="AE125">
        <v>1</v>
      </c>
      <c r="AF125">
        <v>0</v>
      </c>
      <c r="AG125">
        <v>0</v>
      </c>
      <c r="AH125">
        <v>0</v>
      </c>
      <c r="AI125">
        <v>0</v>
      </c>
      <c r="AJ125">
        <v>0</v>
      </c>
      <c r="AK125">
        <v>0</v>
      </c>
      <c r="AL125">
        <v>0</v>
      </c>
      <c r="AM125">
        <v>0</v>
      </c>
      <c r="AN125">
        <v>0</v>
      </c>
      <c r="AO125">
        <v>0</v>
      </c>
      <c r="AP125">
        <v>0</v>
      </c>
      <c r="AQ125">
        <v>0</v>
      </c>
      <c r="AR125">
        <v>0</v>
      </c>
      <c r="AS125">
        <v>0</v>
      </c>
      <c r="AT125">
        <v>0</v>
      </c>
      <c r="AU125" t="s">
        <v>242</v>
      </c>
      <c r="AV125" t="s">
        <v>457</v>
      </c>
      <c r="AW125" t="s">
        <v>328</v>
      </c>
      <c r="AX125" t="s">
        <v>458</v>
      </c>
      <c r="AY125">
        <v>77087</v>
      </c>
      <c r="AZ125">
        <v>48201332800</v>
      </c>
      <c r="BA125" t="s">
        <v>329</v>
      </c>
      <c r="BB125" t="s">
        <v>330</v>
      </c>
      <c r="BC125">
        <v>54037</v>
      </c>
      <c r="BD125">
        <v>2892</v>
      </c>
      <c r="BE125" t="s">
        <v>407</v>
      </c>
      <c r="BF125" t="s">
        <v>407</v>
      </c>
      <c r="BG125" t="s">
        <v>407</v>
      </c>
    </row>
    <row r="126" spans="1:59" x14ac:dyDescent="0.3">
      <c r="A126">
        <v>391974</v>
      </c>
      <c r="B126">
        <v>17897818</v>
      </c>
      <c r="C126">
        <v>2020</v>
      </c>
      <c r="D126" s="62">
        <v>44106</v>
      </c>
      <c r="E126">
        <v>15</v>
      </c>
      <c r="F126" t="s">
        <v>418</v>
      </c>
      <c r="G126" t="s">
        <v>492</v>
      </c>
      <c r="H126" t="s">
        <v>453</v>
      </c>
      <c r="I126" t="s">
        <v>411</v>
      </c>
      <c r="J126">
        <v>29.677409999999998</v>
      </c>
      <c r="K126">
        <v>-95.291070000000005</v>
      </c>
      <c r="L126" t="s">
        <v>321</v>
      </c>
      <c r="M126" t="s">
        <v>322</v>
      </c>
      <c r="N126" t="s">
        <v>323</v>
      </c>
      <c r="O126" t="s">
        <v>324</v>
      </c>
      <c r="P126" t="s">
        <v>414</v>
      </c>
      <c r="Q126" t="s">
        <v>332</v>
      </c>
      <c r="R126" t="s">
        <v>434</v>
      </c>
      <c r="S126">
        <v>0</v>
      </c>
      <c r="T126">
        <v>0</v>
      </c>
      <c r="U126">
        <v>0</v>
      </c>
      <c r="V126">
        <v>0</v>
      </c>
      <c r="W126">
        <v>0</v>
      </c>
      <c r="X126">
        <v>2</v>
      </c>
      <c r="Y126">
        <v>0</v>
      </c>
      <c r="Z126">
        <v>0</v>
      </c>
      <c r="AA126">
        <v>0</v>
      </c>
      <c r="AB126">
        <v>0</v>
      </c>
      <c r="AC126">
        <v>0</v>
      </c>
      <c r="AD126">
        <v>2</v>
      </c>
      <c r="AE126">
        <v>0</v>
      </c>
      <c r="AF126">
        <v>0</v>
      </c>
      <c r="AG126">
        <v>0</v>
      </c>
      <c r="AH126">
        <v>0</v>
      </c>
      <c r="AI126">
        <v>0</v>
      </c>
      <c r="AJ126">
        <v>0</v>
      </c>
      <c r="AK126">
        <v>0</v>
      </c>
      <c r="AL126">
        <v>0</v>
      </c>
      <c r="AM126">
        <v>0</v>
      </c>
      <c r="AN126">
        <v>0</v>
      </c>
      <c r="AO126">
        <v>0</v>
      </c>
      <c r="AP126">
        <v>0</v>
      </c>
      <c r="AQ126">
        <v>0</v>
      </c>
      <c r="AR126">
        <v>0</v>
      </c>
      <c r="AS126">
        <v>0</v>
      </c>
      <c r="AT126">
        <v>0</v>
      </c>
      <c r="AU126" t="s">
        <v>242</v>
      </c>
      <c r="AV126" t="s">
        <v>327</v>
      </c>
      <c r="AW126" t="s">
        <v>328</v>
      </c>
      <c r="AX126" t="s">
        <v>458</v>
      </c>
      <c r="AY126">
        <v>77087</v>
      </c>
      <c r="AZ126">
        <v>48201332600</v>
      </c>
      <c r="BA126" t="s">
        <v>329</v>
      </c>
      <c r="BB126" t="s">
        <v>330</v>
      </c>
      <c r="BC126">
        <v>158757</v>
      </c>
      <c r="BD126">
        <v>2840</v>
      </c>
      <c r="BE126" t="s">
        <v>407</v>
      </c>
      <c r="BF126" t="s">
        <v>407</v>
      </c>
      <c r="BG126" t="s">
        <v>407</v>
      </c>
    </row>
    <row r="127" spans="1:59" x14ac:dyDescent="0.3">
      <c r="A127">
        <v>393254</v>
      </c>
      <c r="B127">
        <v>17903850</v>
      </c>
      <c r="C127">
        <v>2020</v>
      </c>
      <c r="D127" s="62">
        <v>44098</v>
      </c>
      <c r="E127">
        <v>6</v>
      </c>
      <c r="F127" t="s">
        <v>425</v>
      </c>
      <c r="G127" t="s">
        <v>319</v>
      </c>
      <c r="H127" t="s">
        <v>469</v>
      </c>
      <c r="I127" t="s">
        <v>427</v>
      </c>
      <c r="J127">
        <v>29.685155040000001</v>
      </c>
      <c r="K127">
        <v>-95.296187340000003</v>
      </c>
      <c r="L127" t="s">
        <v>420</v>
      </c>
      <c r="M127" t="s">
        <v>431</v>
      </c>
      <c r="N127" t="s">
        <v>429</v>
      </c>
      <c r="O127" t="s">
        <v>324</v>
      </c>
      <c r="P127" t="s">
        <v>414</v>
      </c>
      <c r="Q127" t="s">
        <v>278</v>
      </c>
      <c r="R127" t="s">
        <v>406</v>
      </c>
      <c r="S127">
        <v>0</v>
      </c>
      <c r="T127">
        <v>0</v>
      </c>
      <c r="U127">
        <v>0</v>
      </c>
      <c r="V127">
        <v>0</v>
      </c>
      <c r="W127">
        <v>0</v>
      </c>
      <c r="X127">
        <v>1</v>
      </c>
      <c r="Y127">
        <v>1</v>
      </c>
      <c r="Z127">
        <v>0</v>
      </c>
      <c r="AA127">
        <v>0</v>
      </c>
      <c r="AB127">
        <v>0</v>
      </c>
      <c r="AC127">
        <v>0</v>
      </c>
      <c r="AD127">
        <v>1</v>
      </c>
      <c r="AE127">
        <v>0</v>
      </c>
      <c r="AF127">
        <v>1</v>
      </c>
      <c r="AG127">
        <v>0</v>
      </c>
      <c r="AH127">
        <v>0</v>
      </c>
      <c r="AI127">
        <v>0</v>
      </c>
      <c r="AJ127">
        <v>0</v>
      </c>
      <c r="AK127">
        <v>0</v>
      </c>
      <c r="AL127">
        <v>0</v>
      </c>
      <c r="AM127">
        <v>0</v>
      </c>
      <c r="AN127">
        <v>0</v>
      </c>
      <c r="AO127">
        <v>0</v>
      </c>
      <c r="AP127">
        <v>0</v>
      </c>
      <c r="AQ127">
        <v>0</v>
      </c>
      <c r="AR127">
        <v>0</v>
      </c>
      <c r="AS127">
        <v>0</v>
      </c>
      <c r="AT127">
        <v>0</v>
      </c>
      <c r="AU127" t="s">
        <v>242</v>
      </c>
      <c r="AV127" t="s">
        <v>457</v>
      </c>
      <c r="AW127" t="s">
        <v>328</v>
      </c>
      <c r="AX127" t="s">
        <v>458</v>
      </c>
      <c r="AY127">
        <v>77087</v>
      </c>
      <c r="AZ127">
        <v>48201332900</v>
      </c>
      <c r="BA127" t="s">
        <v>329</v>
      </c>
      <c r="BB127" t="s">
        <v>330</v>
      </c>
      <c r="BC127">
        <v>53817</v>
      </c>
      <c r="BD127">
        <v>2840</v>
      </c>
      <c r="BE127" t="s">
        <v>407</v>
      </c>
      <c r="BF127" t="s">
        <v>407</v>
      </c>
      <c r="BG127" t="s">
        <v>407</v>
      </c>
    </row>
    <row r="128" spans="1:59" x14ac:dyDescent="0.3">
      <c r="A128">
        <v>399658</v>
      </c>
      <c r="B128">
        <v>17930596</v>
      </c>
      <c r="C128">
        <v>2020</v>
      </c>
      <c r="D128" s="62">
        <v>44130</v>
      </c>
      <c r="E128">
        <v>12</v>
      </c>
      <c r="F128" t="s">
        <v>417</v>
      </c>
      <c r="G128" t="s">
        <v>319</v>
      </c>
      <c r="H128" t="s">
        <v>493</v>
      </c>
      <c r="I128" t="s">
        <v>419</v>
      </c>
      <c r="J128">
        <v>29.67999331</v>
      </c>
      <c r="K128">
        <v>-95.292970839999995</v>
      </c>
      <c r="L128" t="s">
        <v>420</v>
      </c>
      <c r="M128" t="s">
        <v>322</v>
      </c>
      <c r="N128" t="s">
        <v>448</v>
      </c>
      <c r="O128" t="s">
        <v>324</v>
      </c>
      <c r="P128" t="s">
        <v>414</v>
      </c>
      <c r="Q128" t="s">
        <v>332</v>
      </c>
      <c r="R128" t="s">
        <v>415</v>
      </c>
      <c r="S128">
        <v>0</v>
      </c>
      <c r="T128">
        <v>0</v>
      </c>
      <c r="U128">
        <v>0</v>
      </c>
      <c r="V128">
        <v>0</v>
      </c>
      <c r="W128">
        <v>0</v>
      </c>
      <c r="X128">
        <v>1</v>
      </c>
      <c r="Y128">
        <v>1</v>
      </c>
      <c r="Z128">
        <v>0</v>
      </c>
      <c r="AA128">
        <v>0</v>
      </c>
      <c r="AB128">
        <v>0</v>
      </c>
      <c r="AC128">
        <v>0</v>
      </c>
      <c r="AD128">
        <v>1</v>
      </c>
      <c r="AE128">
        <v>0</v>
      </c>
      <c r="AF128">
        <v>1</v>
      </c>
      <c r="AG128">
        <v>0</v>
      </c>
      <c r="AH128">
        <v>0</v>
      </c>
      <c r="AI128">
        <v>0</v>
      </c>
      <c r="AJ128">
        <v>0</v>
      </c>
      <c r="AK128">
        <v>0</v>
      </c>
      <c r="AL128">
        <v>0</v>
      </c>
      <c r="AM128">
        <v>0</v>
      </c>
      <c r="AN128">
        <v>0</v>
      </c>
      <c r="AO128">
        <v>0</v>
      </c>
      <c r="AP128">
        <v>0</v>
      </c>
      <c r="AQ128">
        <v>0</v>
      </c>
      <c r="AR128">
        <v>0</v>
      </c>
      <c r="AS128">
        <v>0</v>
      </c>
      <c r="AT128">
        <v>0</v>
      </c>
      <c r="AU128" t="s">
        <v>242</v>
      </c>
      <c r="AV128" t="s">
        <v>327</v>
      </c>
      <c r="AW128" t="s">
        <v>328</v>
      </c>
      <c r="AX128" t="s">
        <v>458</v>
      </c>
      <c r="AY128">
        <v>77087</v>
      </c>
      <c r="AZ128">
        <v>48201332600</v>
      </c>
      <c r="BA128" t="s">
        <v>329</v>
      </c>
      <c r="BB128" t="s">
        <v>330</v>
      </c>
      <c r="BC128">
        <v>158977</v>
      </c>
      <c r="BD128">
        <v>2840</v>
      </c>
      <c r="BE128" t="s">
        <v>407</v>
      </c>
      <c r="BF128" t="s">
        <v>407</v>
      </c>
      <c r="BG128" t="s">
        <v>407</v>
      </c>
    </row>
    <row r="129" spans="1:59" x14ac:dyDescent="0.3">
      <c r="A129">
        <v>400276</v>
      </c>
      <c r="B129">
        <v>17933439</v>
      </c>
      <c r="C129">
        <v>2020</v>
      </c>
      <c r="D129" s="62">
        <v>44131</v>
      </c>
      <c r="E129">
        <v>19</v>
      </c>
      <c r="F129" t="s">
        <v>318</v>
      </c>
      <c r="G129" t="s">
        <v>319</v>
      </c>
      <c r="H129" t="s">
        <v>453</v>
      </c>
      <c r="I129" t="s">
        <v>437</v>
      </c>
      <c r="J129">
        <v>29.690492620000001</v>
      </c>
      <c r="K129">
        <v>-95.298763300000005</v>
      </c>
      <c r="L129" t="s">
        <v>420</v>
      </c>
      <c r="M129" t="s">
        <v>431</v>
      </c>
      <c r="N129" t="s">
        <v>422</v>
      </c>
      <c r="O129" t="s">
        <v>324</v>
      </c>
      <c r="P129" t="s">
        <v>414</v>
      </c>
      <c r="Q129" t="s">
        <v>332</v>
      </c>
      <c r="R129" t="s">
        <v>406</v>
      </c>
      <c r="S129">
        <v>0</v>
      </c>
      <c r="T129">
        <v>0</v>
      </c>
      <c r="U129">
        <v>0</v>
      </c>
      <c r="V129">
        <v>0</v>
      </c>
      <c r="W129">
        <v>0</v>
      </c>
      <c r="X129">
        <v>2</v>
      </c>
      <c r="Y129">
        <v>0</v>
      </c>
      <c r="Z129">
        <v>0</v>
      </c>
      <c r="AA129">
        <v>0</v>
      </c>
      <c r="AB129">
        <v>0</v>
      </c>
      <c r="AC129">
        <v>0</v>
      </c>
      <c r="AD129">
        <v>2</v>
      </c>
      <c r="AE129">
        <v>0</v>
      </c>
      <c r="AF129">
        <v>0</v>
      </c>
      <c r="AG129">
        <v>0</v>
      </c>
      <c r="AH129">
        <v>0</v>
      </c>
      <c r="AI129">
        <v>0</v>
      </c>
      <c r="AJ129">
        <v>0</v>
      </c>
      <c r="AK129">
        <v>0</v>
      </c>
      <c r="AL129">
        <v>0</v>
      </c>
      <c r="AM129">
        <v>0</v>
      </c>
      <c r="AN129">
        <v>0</v>
      </c>
      <c r="AO129">
        <v>0</v>
      </c>
      <c r="AP129">
        <v>0</v>
      </c>
      <c r="AQ129">
        <v>0</v>
      </c>
      <c r="AR129">
        <v>0</v>
      </c>
      <c r="AS129">
        <v>0</v>
      </c>
      <c r="AT129">
        <v>0</v>
      </c>
      <c r="AU129" t="s">
        <v>242</v>
      </c>
      <c r="AV129" t="s">
        <v>457</v>
      </c>
      <c r="AW129" t="s">
        <v>328</v>
      </c>
      <c r="AX129" t="s">
        <v>458</v>
      </c>
      <c r="AY129">
        <v>77087</v>
      </c>
      <c r="AZ129">
        <v>48201332900</v>
      </c>
      <c r="BA129" t="s">
        <v>329</v>
      </c>
      <c r="BB129" t="s">
        <v>330</v>
      </c>
      <c r="BC129">
        <v>54037</v>
      </c>
      <c r="BD129">
        <v>2892</v>
      </c>
      <c r="BE129" t="s">
        <v>407</v>
      </c>
      <c r="BF129" t="s">
        <v>407</v>
      </c>
      <c r="BG129" t="s">
        <v>407</v>
      </c>
    </row>
    <row r="130" spans="1:59" x14ac:dyDescent="0.3">
      <c r="A130">
        <v>401583</v>
      </c>
      <c r="B130">
        <v>17939178</v>
      </c>
      <c r="C130">
        <v>2020</v>
      </c>
      <c r="D130" s="62">
        <v>44135</v>
      </c>
      <c r="E130">
        <v>19</v>
      </c>
      <c r="F130" t="s">
        <v>436</v>
      </c>
      <c r="G130" t="s">
        <v>319</v>
      </c>
      <c r="H130" t="s">
        <v>467</v>
      </c>
      <c r="I130" t="s">
        <v>320</v>
      </c>
      <c r="J130">
        <v>29.691314810000002</v>
      </c>
      <c r="K130">
        <v>-95.298783110000002</v>
      </c>
      <c r="L130" t="s">
        <v>321</v>
      </c>
      <c r="M130" t="s">
        <v>431</v>
      </c>
      <c r="N130" t="s">
        <v>429</v>
      </c>
      <c r="O130" t="s">
        <v>456</v>
      </c>
      <c r="P130" t="s">
        <v>283</v>
      </c>
      <c r="Q130" t="s">
        <v>278</v>
      </c>
      <c r="R130" t="s">
        <v>477</v>
      </c>
      <c r="S130">
        <v>0</v>
      </c>
      <c r="T130">
        <v>0</v>
      </c>
      <c r="U130">
        <v>0</v>
      </c>
      <c r="V130">
        <v>1</v>
      </c>
      <c r="W130">
        <v>1</v>
      </c>
      <c r="X130">
        <v>1</v>
      </c>
      <c r="Y130">
        <v>0</v>
      </c>
      <c r="Z130">
        <v>0</v>
      </c>
      <c r="AA130">
        <v>0</v>
      </c>
      <c r="AB130">
        <v>0</v>
      </c>
      <c r="AC130">
        <v>0</v>
      </c>
      <c r="AD130">
        <v>1</v>
      </c>
      <c r="AE130">
        <v>0</v>
      </c>
      <c r="AF130">
        <v>0</v>
      </c>
      <c r="AG130">
        <v>0</v>
      </c>
      <c r="AH130">
        <v>0</v>
      </c>
      <c r="AI130">
        <v>0</v>
      </c>
      <c r="AJ130">
        <v>1</v>
      </c>
      <c r="AK130">
        <v>0</v>
      </c>
      <c r="AL130">
        <v>1</v>
      </c>
      <c r="AM130">
        <v>0</v>
      </c>
      <c r="AN130">
        <v>0</v>
      </c>
      <c r="AO130">
        <v>0</v>
      </c>
      <c r="AP130">
        <v>0</v>
      </c>
      <c r="AQ130">
        <v>0</v>
      </c>
      <c r="AR130">
        <v>0</v>
      </c>
      <c r="AS130">
        <v>0</v>
      </c>
      <c r="AT130">
        <v>0</v>
      </c>
      <c r="AU130" t="s">
        <v>242</v>
      </c>
      <c r="AV130" t="s">
        <v>457</v>
      </c>
      <c r="AW130" t="s">
        <v>328</v>
      </c>
      <c r="AX130" t="s">
        <v>458</v>
      </c>
      <c r="AY130">
        <v>77087</v>
      </c>
      <c r="AZ130">
        <v>48201332900</v>
      </c>
      <c r="BA130" t="s">
        <v>329</v>
      </c>
      <c r="BB130" t="s">
        <v>330</v>
      </c>
      <c r="BC130">
        <v>54037</v>
      </c>
      <c r="BD130">
        <v>2892</v>
      </c>
      <c r="BE130" t="s">
        <v>407</v>
      </c>
      <c r="BF130" t="s">
        <v>407</v>
      </c>
      <c r="BG130" t="s">
        <v>407</v>
      </c>
    </row>
    <row r="131" spans="1:59" x14ac:dyDescent="0.3">
      <c r="A131">
        <v>401652</v>
      </c>
      <c r="B131">
        <v>17939363</v>
      </c>
      <c r="C131">
        <v>2020</v>
      </c>
      <c r="D131" s="62">
        <v>44135</v>
      </c>
      <c r="E131">
        <v>18</v>
      </c>
      <c r="F131" t="s">
        <v>436</v>
      </c>
      <c r="G131" t="s">
        <v>319</v>
      </c>
      <c r="H131" t="s">
        <v>453</v>
      </c>
      <c r="I131" t="s">
        <v>437</v>
      </c>
      <c r="J131">
        <v>29.691588880000001</v>
      </c>
      <c r="K131">
        <v>-95.298789639999995</v>
      </c>
      <c r="L131" t="s">
        <v>321</v>
      </c>
      <c r="M131" t="s">
        <v>322</v>
      </c>
      <c r="N131" t="s">
        <v>323</v>
      </c>
      <c r="O131" t="s">
        <v>324</v>
      </c>
      <c r="P131" t="s">
        <v>414</v>
      </c>
      <c r="Q131" t="s">
        <v>332</v>
      </c>
      <c r="R131" t="s">
        <v>406</v>
      </c>
      <c r="S131">
        <v>0</v>
      </c>
      <c r="T131">
        <v>0</v>
      </c>
      <c r="U131">
        <v>0</v>
      </c>
      <c r="V131">
        <v>0</v>
      </c>
      <c r="W131">
        <v>0</v>
      </c>
      <c r="X131">
        <v>2</v>
      </c>
      <c r="Y131">
        <v>0</v>
      </c>
      <c r="Z131">
        <v>0</v>
      </c>
      <c r="AA131">
        <v>0</v>
      </c>
      <c r="AB131">
        <v>0</v>
      </c>
      <c r="AC131">
        <v>0</v>
      </c>
      <c r="AD131">
        <v>2</v>
      </c>
      <c r="AE131">
        <v>0</v>
      </c>
      <c r="AF131">
        <v>0</v>
      </c>
      <c r="AG131">
        <v>0</v>
      </c>
      <c r="AH131">
        <v>0</v>
      </c>
      <c r="AI131">
        <v>0</v>
      </c>
      <c r="AJ131">
        <v>0</v>
      </c>
      <c r="AK131">
        <v>0</v>
      </c>
      <c r="AL131">
        <v>0</v>
      </c>
      <c r="AM131">
        <v>0</v>
      </c>
      <c r="AN131">
        <v>0</v>
      </c>
      <c r="AO131">
        <v>0</v>
      </c>
      <c r="AP131">
        <v>0</v>
      </c>
      <c r="AQ131">
        <v>0</v>
      </c>
      <c r="AR131">
        <v>0</v>
      </c>
      <c r="AS131">
        <v>0</v>
      </c>
      <c r="AT131">
        <v>0</v>
      </c>
      <c r="AU131" t="s">
        <v>242</v>
      </c>
      <c r="AV131" t="s">
        <v>457</v>
      </c>
      <c r="AW131" t="s">
        <v>328</v>
      </c>
      <c r="AX131" t="s">
        <v>458</v>
      </c>
      <c r="AY131">
        <v>77087</v>
      </c>
      <c r="AZ131">
        <v>48201332900</v>
      </c>
      <c r="BA131" t="s">
        <v>329</v>
      </c>
      <c r="BB131" t="s">
        <v>330</v>
      </c>
      <c r="BC131">
        <v>54037</v>
      </c>
      <c r="BD131">
        <v>2892</v>
      </c>
      <c r="BE131" t="s">
        <v>407</v>
      </c>
      <c r="BF131" t="s">
        <v>407</v>
      </c>
      <c r="BG131" t="s">
        <v>407</v>
      </c>
    </row>
    <row r="132" spans="1:59" x14ac:dyDescent="0.3">
      <c r="A132">
        <v>407450</v>
      </c>
      <c r="B132">
        <v>17963218</v>
      </c>
      <c r="C132">
        <v>2020</v>
      </c>
      <c r="D132" s="62">
        <v>44150</v>
      </c>
      <c r="E132">
        <v>16</v>
      </c>
      <c r="F132" t="s">
        <v>408</v>
      </c>
      <c r="G132" t="s">
        <v>319</v>
      </c>
      <c r="H132" t="s">
        <v>453</v>
      </c>
      <c r="I132" t="s">
        <v>419</v>
      </c>
      <c r="J132">
        <v>29.680414819999999</v>
      </c>
      <c r="K132">
        <v>-95.293353109999998</v>
      </c>
      <c r="L132" t="s">
        <v>321</v>
      </c>
      <c r="M132" t="s">
        <v>322</v>
      </c>
      <c r="N132" t="s">
        <v>323</v>
      </c>
      <c r="O132" t="s">
        <v>324</v>
      </c>
      <c r="P132" t="s">
        <v>414</v>
      </c>
      <c r="Q132" t="s">
        <v>331</v>
      </c>
      <c r="R132" t="s">
        <v>472</v>
      </c>
      <c r="S132">
        <v>0</v>
      </c>
      <c r="T132">
        <v>0</v>
      </c>
      <c r="U132">
        <v>0</v>
      </c>
      <c r="V132">
        <v>0</v>
      </c>
      <c r="W132">
        <v>0</v>
      </c>
      <c r="X132">
        <v>5</v>
      </c>
      <c r="Y132">
        <v>0</v>
      </c>
      <c r="Z132">
        <v>0</v>
      </c>
      <c r="AA132">
        <v>0</v>
      </c>
      <c r="AB132">
        <v>0</v>
      </c>
      <c r="AC132">
        <v>0</v>
      </c>
      <c r="AD132">
        <v>5</v>
      </c>
      <c r="AE132">
        <v>0</v>
      </c>
      <c r="AF132">
        <v>0</v>
      </c>
      <c r="AG132">
        <v>0</v>
      </c>
      <c r="AH132">
        <v>0</v>
      </c>
      <c r="AI132">
        <v>0</v>
      </c>
      <c r="AJ132">
        <v>0</v>
      </c>
      <c r="AK132">
        <v>0</v>
      </c>
      <c r="AL132">
        <v>0</v>
      </c>
      <c r="AM132">
        <v>0</v>
      </c>
      <c r="AN132">
        <v>0</v>
      </c>
      <c r="AO132">
        <v>0</v>
      </c>
      <c r="AP132">
        <v>0</v>
      </c>
      <c r="AQ132">
        <v>0</v>
      </c>
      <c r="AR132">
        <v>0</v>
      </c>
      <c r="AS132">
        <v>0</v>
      </c>
      <c r="AT132">
        <v>0</v>
      </c>
      <c r="AU132" t="s">
        <v>242</v>
      </c>
      <c r="AV132" t="s">
        <v>327</v>
      </c>
      <c r="AW132" t="s">
        <v>328</v>
      </c>
      <c r="AX132" t="s">
        <v>458</v>
      </c>
      <c r="AY132">
        <v>77087</v>
      </c>
      <c r="AZ132">
        <v>48201332600</v>
      </c>
      <c r="BA132" t="s">
        <v>329</v>
      </c>
      <c r="BB132" t="s">
        <v>330</v>
      </c>
      <c r="BC132">
        <v>158977</v>
      </c>
      <c r="BD132">
        <v>2840</v>
      </c>
      <c r="BE132" t="s">
        <v>407</v>
      </c>
      <c r="BF132" t="s">
        <v>407</v>
      </c>
      <c r="BG132" t="s">
        <v>407</v>
      </c>
    </row>
    <row r="133" spans="1:59" x14ac:dyDescent="0.3">
      <c r="A133">
        <v>421145</v>
      </c>
      <c r="B133">
        <v>18018969</v>
      </c>
      <c r="C133">
        <v>2020</v>
      </c>
      <c r="D133" s="62">
        <v>44166</v>
      </c>
      <c r="E133">
        <v>9</v>
      </c>
      <c r="F133" t="s">
        <v>318</v>
      </c>
      <c r="G133" t="s">
        <v>319</v>
      </c>
      <c r="H133" t="s">
        <v>453</v>
      </c>
      <c r="I133" t="s">
        <v>427</v>
      </c>
      <c r="J133">
        <v>29.68515481</v>
      </c>
      <c r="K133">
        <v>-95.296383109999994</v>
      </c>
      <c r="L133" t="s">
        <v>321</v>
      </c>
      <c r="M133" t="s">
        <v>322</v>
      </c>
      <c r="N133" t="s">
        <v>429</v>
      </c>
      <c r="O133" t="s">
        <v>324</v>
      </c>
      <c r="P133" t="s">
        <v>414</v>
      </c>
      <c r="Q133" t="s">
        <v>331</v>
      </c>
      <c r="R133" t="s">
        <v>438</v>
      </c>
      <c r="S133">
        <v>0</v>
      </c>
      <c r="T133">
        <v>0</v>
      </c>
      <c r="U133">
        <v>0</v>
      </c>
      <c r="V133">
        <v>0</v>
      </c>
      <c r="W133">
        <v>0</v>
      </c>
      <c r="X133">
        <v>3</v>
      </c>
      <c r="Y133">
        <v>0</v>
      </c>
      <c r="Z133">
        <v>0</v>
      </c>
      <c r="AA133">
        <v>0</v>
      </c>
      <c r="AB133">
        <v>0</v>
      </c>
      <c r="AC133">
        <v>0</v>
      </c>
      <c r="AD133">
        <v>3</v>
      </c>
      <c r="AE133">
        <v>0</v>
      </c>
      <c r="AF133">
        <v>0</v>
      </c>
      <c r="AG133">
        <v>0</v>
      </c>
      <c r="AH133">
        <v>0</v>
      </c>
      <c r="AI133">
        <v>0</v>
      </c>
      <c r="AJ133">
        <v>0</v>
      </c>
      <c r="AK133">
        <v>0</v>
      </c>
      <c r="AL133">
        <v>0</v>
      </c>
      <c r="AM133">
        <v>0</v>
      </c>
      <c r="AN133">
        <v>0</v>
      </c>
      <c r="AO133">
        <v>0</v>
      </c>
      <c r="AP133">
        <v>0</v>
      </c>
      <c r="AQ133">
        <v>0</v>
      </c>
      <c r="AR133">
        <v>0</v>
      </c>
      <c r="AS133">
        <v>0</v>
      </c>
      <c r="AT133">
        <v>0</v>
      </c>
      <c r="AU133" t="s">
        <v>242</v>
      </c>
      <c r="AV133" t="s">
        <v>457</v>
      </c>
      <c r="AW133" t="s">
        <v>328</v>
      </c>
      <c r="AX133" t="s">
        <v>458</v>
      </c>
      <c r="AY133">
        <v>77087</v>
      </c>
      <c r="AZ133">
        <v>48201332700</v>
      </c>
      <c r="BA133" t="s">
        <v>329</v>
      </c>
      <c r="BB133" t="s">
        <v>330</v>
      </c>
      <c r="BC133">
        <v>53817</v>
      </c>
      <c r="BD133">
        <v>2840</v>
      </c>
      <c r="BE133" t="s">
        <v>407</v>
      </c>
      <c r="BF133" t="s">
        <v>407</v>
      </c>
      <c r="BG133" t="s">
        <v>407</v>
      </c>
    </row>
    <row r="134" spans="1:59" x14ac:dyDescent="0.3">
      <c r="A134">
        <v>429446</v>
      </c>
      <c r="B134">
        <v>18240819</v>
      </c>
      <c r="C134">
        <v>2020</v>
      </c>
      <c r="D134" s="62">
        <v>44159</v>
      </c>
      <c r="E134">
        <v>11</v>
      </c>
      <c r="F134" t="s">
        <v>318</v>
      </c>
      <c r="G134" t="s">
        <v>319</v>
      </c>
      <c r="H134" t="s">
        <v>453</v>
      </c>
      <c r="I134" t="s">
        <v>419</v>
      </c>
      <c r="J134">
        <v>29.693386950000001</v>
      </c>
      <c r="K134">
        <v>-95.299306279999996</v>
      </c>
      <c r="L134" t="s">
        <v>430</v>
      </c>
      <c r="M134" t="s">
        <v>440</v>
      </c>
      <c r="N134" t="s">
        <v>323</v>
      </c>
      <c r="O134" t="s">
        <v>324</v>
      </c>
      <c r="P134" t="s">
        <v>414</v>
      </c>
      <c r="Q134" t="s">
        <v>325</v>
      </c>
      <c r="R134" t="s">
        <v>406</v>
      </c>
      <c r="S134">
        <v>0</v>
      </c>
      <c r="T134">
        <v>0</v>
      </c>
      <c r="U134">
        <v>0</v>
      </c>
      <c r="V134">
        <v>0</v>
      </c>
      <c r="W134">
        <v>0</v>
      </c>
      <c r="X134">
        <v>1</v>
      </c>
      <c r="Y134">
        <v>1</v>
      </c>
      <c r="Z134">
        <v>0</v>
      </c>
      <c r="AA134">
        <v>0</v>
      </c>
      <c r="AB134">
        <v>0</v>
      </c>
      <c r="AC134">
        <v>0</v>
      </c>
      <c r="AD134">
        <v>1</v>
      </c>
      <c r="AE134">
        <v>0</v>
      </c>
      <c r="AF134">
        <v>1</v>
      </c>
      <c r="AG134">
        <v>0</v>
      </c>
      <c r="AH134">
        <v>0</v>
      </c>
      <c r="AI134">
        <v>0</v>
      </c>
      <c r="AJ134">
        <v>0</v>
      </c>
      <c r="AK134">
        <v>0</v>
      </c>
      <c r="AL134">
        <v>0</v>
      </c>
      <c r="AM134">
        <v>0</v>
      </c>
      <c r="AN134">
        <v>0</v>
      </c>
      <c r="AO134">
        <v>0</v>
      </c>
      <c r="AP134">
        <v>0</v>
      </c>
      <c r="AQ134">
        <v>0</v>
      </c>
      <c r="AR134">
        <v>0</v>
      </c>
      <c r="AS134">
        <v>0</v>
      </c>
      <c r="AT134">
        <v>0</v>
      </c>
      <c r="AU134" t="s">
        <v>242</v>
      </c>
      <c r="AV134" t="s">
        <v>457</v>
      </c>
      <c r="AW134" t="s">
        <v>328</v>
      </c>
      <c r="AX134" t="s">
        <v>458</v>
      </c>
      <c r="AY134">
        <v>77087</v>
      </c>
      <c r="AZ134">
        <v>48201332900</v>
      </c>
      <c r="BA134" t="s">
        <v>329</v>
      </c>
      <c r="BB134" t="s">
        <v>330</v>
      </c>
      <c r="BC134">
        <v>54257</v>
      </c>
      <c r="BD134">
        <v>2892</v>
      </c>
      <c r="BE134" t="s">
        <v>407</v>
      </c>
      <c r="BF134" t="s">
        <v>407</v>
      </c>
      <c r="BG134" t="s">
        <v>407</v>
      </c>
    </row>
    <row r="135" spans="1:59" x14ac:dyDescent="0.3">
      <c r="A135">
        <v>430409</v>
      </c>
      <c r="B135">
        <v>18048982</v>
      </c>
      <c r="C135">
        <v>2021</v>
      </c>
      <c r="D135" s="62">
        <v>44202</v>
      </c>
      <c r="E135">
        <v>18</v>
      </c>
      <c r="F135" t="s">
        <v>405</v>
      </c>
      <c r="G135" t="s">
        <v>319</v>
      </c>
      <c r="H135" t="s">
        <v>453</v>
      </c>
      <c r="I135" t="s">
        <v>437</v>
      </c>
      <c r="J135">
        <v>29.692694809999999</v>
      </c>
      <c r="K135">
        <v>-95.299003110000001</v>
      </c>
      <c r="L135" t="s">
        <v>430</v>
      </c>
      <c r="M135" t="s">
        <v>465</v>
      </c>
      <c r="N135" t="s">
        <v>323</v>
      </c>
      <c r="O135" t="s">
        <v>324</v>
      </c>
      <c r="P135" t="s">
        <v>414</v>
      </c>
      <c r="Q135" t="s">
        <v>278</v>
      </c>
      <c r="R135" t="s">
        <v>406</v>
      </c>
      <c r="S135">
        <v>0</v>
      </c>
      <c r="T135">
        <v>0</v>
      </c>
      <c r="U135">
        <v>0</v>
      </c>
      <c r="V135">
        <v>0</v>
      </c>
      <c r="W135">
        <v>0</v>
      </c>
      <c r="X135">
        <v>5</v>
      </c>
      <c r="Y135">
        <v>0</v>
      </c>
      <c r="Z135">
        <v>0</v>
      </c>
      <c r="AA135">
        <v>0</v>
      </c>
      <c r="AB135">
        <v>0</v>
      </c>
      <c r="AC135">
        <v>0</v>
      </c>
      <c r="AD135">
        <v>5</v>
      </c>
      <c r="AE135">
        <v>0</v>
      </c>
      <c r="AF135">
        <v>0</v>
      </c>
      <c r="AG135">
        <v>0</v>
      </c>
      <c r="AH135">
        <v>0</v>
      </c>
      <c r="AI135">
        <v>0</v>
      </c>
      <c r="AJ135">
        <v>0</v>
      </c>
      <c r="AK135">
        <v>0</v>
      </c>
      <c r="AL135">
        <v>0</v>
      </c>
      <c r="AM135">
        <v>0</v>
      </c>
      <c r="AN135">
        <v>0</v>
      </c>
      <c r="AO135">
        <v>0</v>
      </c>
      <c r="AP135">
        <v>0</v>
      </c>
      <c r="AQ135">
        <v>0</v>
      </c>
      <c r="AR135">
        <v>0</v>
      </c>
      <c r="AS135">
        <v>0</v>
      </c>
      <c r="AT135">
        <v>0</v>
      </c>
      <c r="AU135" t="s">
        <v>242</v>
      </c>
      <c r="AV135" t="s">
        <v>457</v>
      </c>
      <c r="AW135" t="s">
        <v>328</v>
      </c>
      <c r="AX135" t="s">
        <v>458</v>
      </c>
      <c r="AY135">
        <v>77087</v>
      </c>
      <c r="AZ135">
        <v>48201332800</v>
      </c>
      <c r="BA135" t="s">
        <v>329</v>
      </c>
      <c r="BB135" t="s">
        <v>330</v>
      </c>
      <c r="BC135">
        <v>54037</v>
      </c>
      <c r="BD135">
        <v>2892</v>
      </c>
      <c r="BE135" t="s">
        <v>407</v>
      </c>
      <c r="BF135" t="s">
        <v>407</v>
      </c>
      <c r="BG135" t="s">
        <v>407</v>
      </c>
    </row>
    <row r="136" spans="1:59" x14ac:dyDescent="0.3">
      <c r="A136">
        <v>432818</v>
      </c>
      <c r="B136">
        <v>18062318</v>
      </c>
      <c r="C136">
        <v>2021</v>
      </c>
      <c r="D136" s="62">
        <v>44211</v>
      </c>
      <c r="E136">
        <v>18</v>
      </c>
      <c r="F136" t="s">
        <v>418</v>
      </c>
      <c r="G136" t="s">
        <v>319</v>
      </c>
      <c r="H136" t="s">
        <v>453</v>
      </c>
      <c r="I136" t="s">
        <v>320</v>
      </c>
      <c r="J136">
        <v>29.692135189999998</v>
      </c>
      <c r="K136">
        <v>-95.298834049999996</v>
      </c>
      <c r="L136" t="s">
        <v>321</v>
      </c>
      <c r="M136" t="s">
        <v>431</v>
      </c>
      <c r="N136" t="s">
        <v>323</v>
      </c>
      <c r="O136" t="s">
        <v>324</v>
      </c>
      <c r="P136" t="s">
        <v>283</v>
      </c>
      <c r="Q136" t="s">
        <v>325</v>
      </c>
      <c r="R136" t="s">
        <v>406</v>
      </c>
      <c r="S136">
        <v>0</v>
      </c>
      <c r="T136">
        <v>0</v>
      </c>
      <c r="U136">
        <v>0</v>
      </c>
      <c r="V136">
        <v>2</v>
      </c>
      <c r="W136">
        <v>2</v>
      </c>
      <c r="X136">
        <v>1</v>
      </c>
      <c r="Y136">
        <v>0</v>
      </c>
      <c r="Z136">
        <v>0</v>
      </c>
      <c r="AA136">
        <v>0</v>
      </c>
      <c r="AB136">
        <v>0</v>
      </c>
      <c r="AC136">
        <v>2</v>
      </c>
      <c r="AD136">
        <v>1</v>
      </c>
      <c r="AE136">
        <v>2</v>
      </c>
      <c r="AF136">
        <v>0</v>
      </c>
      <c r="AG136">
        <v>0</v>
      </c>
      <c r="AH136">
        <v>0</v>
      </c>
      <c r="AI136">
        <v>0</v>
      </c>
      <c r="AJ136">
        <v>0</v>
      </c>
      <c r="AK136">
        <v>0</v>
      </c>
      <c r="AL136">
        <v>0</v>
      </c>
      <c r="AM136">
        <v>0</v>
      </c>
      <c r="AN136">
        <v>0</v>
      </c>
      <c r="AO136">
        <v>0</v>
      </c>
      <c r="AP136">
        <v>0</v>
      </c>
      <c r="AQ136">
        <v>0</v>
      </c>
      <c r="AR136">
        <v>0</v>
      </c>
      <c r="AS136">
        <v>0</v>
      </c>
      <c r="AT136">
        <v>0</v>
      </c>
      <c r="AU136" t="s">
        <v>242</v>
      </c>
      <c r="AV136" t="s">
        <v>457</v>
      </c>
      <c r="AW136" t="s">
        <v>328</v>
      </c>
      <c r="AX136" t="s">
        <v>458</v>
      </c>
      <c r="AY136">
        <v>77087</v>
      </c>
      <c r="AZ136">
        <v>48201332900</v>
      </c>
      <c r="BA136" t="s">
        <v>329</v>
      </c>
      <c r="BB136" t="s">
        <v>330</v>
      </c>
      <c r="BC136">
        <v>54037</v>
      </c>
      <c r="BD136">
        <v>2892</v>
      </c>
      <c r="BE136" t="s">
        <v>407</v>
      </c>
      <c r="BF136" t="s">
        <v>407</v>
      </c>
      <c r="BG136" t="s">
        <v>407</v>
      </c>
    </row>
    <row r="137" spans="1:59" x14ac:dyDescent="0.3">
      <c r="A137">
        <v>434794</v>
      </c>
      <c r="B137">
        <v>18071403</v>
      </c>
      <c r="C137">
        <v>2021</v>
      </c>
      <c r="D137" s="62">
        <v>44216</v>
      </c>
      <c r="E137">
        <v>16</v>
      </c>
      <c r="F137" t="s">
        <v>405</v>
      </c>
      <c r="G137" t="s">
        <v>319</v>
      </c>
      <c r="H137" t="s">
        <v>453</v>
      </c>
      <c r="I137" t="s">
        <v>437</v>
      </c>
      <c r="J137">
        <v>29.689458009999999</v>
      </c>
      <c r="K137">
        <v>-95.298733339999998</v>
      </c>
      <c r="L137" t="s">
        <v>420</v>
      </c>
      <c r="M137" t="s">
        <v>322</v>
      </c>
      <c r="N137" t="s">
        <v>323</v>
      </c>
      <c r="O137" t="s">
        <v>324</v>
      </c>
      <c r="P137" t="s">
        <v>410</v>
      </c>
      <c r="Q137" t="s">
        <v>332</v>
      </c>
      <c r="R137" t="s">
        <v>426</v>
      </c>
      <c r="S137">
        <v>0</v>
      </c>
      <c r="T137">
        <v>0</v>
      </c>
      <c r="U137">
        <v>1</v>
      </c>
      <c r="V137">
        <v>0</v>
      </c>
      <c r="W137">
        <v>1</v>
      </c>
      <c r="X137">
        <v>3</v>
      </c>
      <c r="Y137">
        <v>0</v>
      </c>
      <c r="Z137">
        <v>0</v>
      </c>
      <c r="AA137">
        <v>0</v>
      </c>
      <c r="AB137">
        <v>1</v>
      </c>
      <c r="AC137">
        <v>0</v>
      </c>
      <c r="AD137">
        <v>3</v>
      </c>
      <c r="AE137">
        <v>1</v>
      </c>
      <c r="AF137">
        <v>0</v>
      </c>
      <c r="AG137">
        <v>0</v>
      </c>
      <c r="AH137">
        <v>0</v>
      </c>
      <c r="AI137">
        <v>0</v>
      </c>
      <c r="AJ137">
        <v>0</v>
      </c>
      <c r="AK137">
        <v>0</v>
      </c>
      <c r="AL137">
        <v>0</v>
      </c>
      <c r="AM137">
        <v>0</v>
      </c>
      <c r="AN137">
        <v>0</v>
      </c>
      <c r="AO137">
        <v>0</v>
      </c>
      <c r="AP137">
        <v>0</v>
      </c>
      <c r="AQ137">
        <v>0</v>
      </c>
      <c r="AR137">
        <v>0</v>
      </c>
      <c r="AS137">
        <v>0</v>
      </c>
      <c r="AT137">
        <v>0</v>
      </c>
      <c r="AU137" t="s">
        <v>242</v>
      </c>
      <c r="AV137" t="s">
        <v>457</v>
      </c>
      <c r="AW137" t="s">
        <v>328</v>
      </c>
      <c r="AX137" t="s">
        <v>458</v>
      </c>
      <c r="AY137">
        <v>77087</v>
      </c>
      <c r="AZ137">
        <v>48201332900</v>
      </c>
      <c r="BA137" t="s">
        <v>329</v>
      </c>
      <c r="BB137" t="s">
        <v>330</v>
      </c>
      <c r="BC137">
        <v>54037</v>
      </c>
      <c r="BD137">
        <v>2892</v>
      </c>
      <c r="BE137" t="s">
        <v>407</v>
      </c>
      <c r="BF137" t="s">
        <v>407</v>
      </c>
      <c r="BG137" t="s">
        <v>407</v>
      </c>
    </row>
    <row r="138" spans="1:59" x14ac:dyDescent="0.3">
      <c r="A138">
        <v>435238</v>
      </c>
      <c r="B138">
        <v>18073286</v>
      </c>
      <c r="C138">
        <v>2021</v>
      </c>
      <c r="D138" s="62">
        <v>44203</v>
      </c>
      <c r="E138">
        <v>14</v>
      </c>
      <c r="F138" t="s">
        <v>425</v>
      </c>
      <c r="G138" t="s">
        <v>319</v>
      </c>
      <c r="H138" t="s">
        <v>494</v>
      </c>
      <c r="I138" t="s">
        <v>446</v>
      </c>
      <c r="J138">
        <v>29.69351481</v>
      </c>
      <c r="K138">
        <v>-95.299363110000002</v>
      </c>
      <c r="L138" t="s">
        <v>321</v>
      </c>
      <c r="M138" t="s">
        <v>322</v>
      </c>
      <c r="N138" t="s">
        <v>429</v>
      </c>
      <c r="O138" t="s">
        <v>324</v>
      </c>
      <c r="P138" t="s">
        <v>414</v>
      </c>
      <c r="Q138" t="s">
        <v>331</v>
      </c>
      <c r="R138" t="s">
        <v>438</v>
      </c>
      <c r="S138">
        <v>0</v>
      </c>
      <c r="T138">
        <v>0</v>
      </c>
      <c r="U138">
        <v>0</v>
      </c>
      <c r="V138">
        <v>0</v>
      </c>
      <c r="W138">
        <v>0</v>
      </c>
      <c r="X138">
        <v>3</v>
      </c>
      <c r="Y138">
        <v>0</v>
      </c>
      <c r="Z138">
        <v>0</v>
      </c>
      <c r="AA138">
        <v>0</v>
      </c>
      <c r="AB138">
        <v>0</v>
      </c>
      <c r="AC138">
        <v>0</v>
      </c>
      <c r="AD138">
        <v>3</v>
      </c>
      <c r="AE138">
        <v>0</v>
      </c>
      <c r="AF138">
        <v>0</v>
      </c>
      <c r="AG138">
        <v>0</v>
      </c>
      <c r="AH138">
        <v>0</v>
      </c>
      <c r="AI138">
        <v>0</v>
      </c>
      <c r="AJ138">
        <v>0</v>
      </c>
      <c r="AK138">
        <v>0</v>
      </c>
      <c r="AL138">
        <v>0</v>
      </c>
      <c r="AM138">
        <v>0</v>
      </c>
      <c r="AN138">
        <v>0</v>
      </c>
      <c r="AO138">
        <v>0</v>
      </c>
      <c r="AP138">
        <v>0</v>
      </c>
      <c r="AQ138">
        <v>0</v>
      </c>
      <c r="AR138">
        <v>0</v>
      </c>
      <c r="AS138">
        <v>0</v>
      </c>
      <c r="AT138">
        <v>0</v>
      </c>
      <c r="AU138" t="s">
        <v>242</v>
      </c>
      <c r="AV138" t="s">
        <v>457</v>
      </c>
      <c r="AW138" t="s">
        <v>328</v>
      </c>
      <c r="AX138" t="s">
        <v>458</v>
      </c>
      <c r="AY138">
        <v>77087</v>
      </c>
      <c r="AZ138">
        <v>48201332900</v>
      </c>
      <c r="BA138" t="s">
        <v>329</v>
      </c>
      <c r="BB138" t="s">
        <v>330</v>
      </c>
      <c r="BC138">
        <v>54257</v>
      </c>
      <c r="BD138">
        <v>2892</v>
      </c>
      <c r="BE138" t="s">
        <v>407</v>
      </c>
      <c r="BF138" t="s">
        <v>407</v>
      </c>
      <c r="BG138" t="s">
        <v>407</v>
      </c>
    </row>
    <row r="139" spans="1:59" x14ac:dyDescent="0.3">
      <c r="A139">
        <v>438163</v>
      </c>
      <c r="B139">
        <v>18085782</v>
      </c>
      <c r="C139">
        <v>2021</v>
      </c>
      <c r="D139" s="62">
        <v>44223</v>
      </c>
      <c r="E139">
        <v>20</v>
      </c>
      <c r="F139" t="s">
        <v>405</v>
      </c>
      <c r="G139" t="s">
        <v>492</v>
      </c>
      <c r="H139" t="s">
        <v>453</v>
      </c>
      <c r="I139" t="s">
        <v>437</v>
      </c>
      <c r="J139">
        <v>29.685120000000001</v>
      </c>
      <c r="K139">
        <v>-95.296329999999998</v>
      </c>
      <c r="L139" t="s">
        <v>321</v>
      </c>
      <c r="M139" t="s">
        <v>431</v>
      </c>
      <c r="N139" t="s">
        <v>323</v>
      </c>
      <c r="O139" t="s">
        <v>495</v>
      </c>
      <c r="P139" t="s">
        <v>414</v>
      </c>
      <c r="Q139" t="s">
        <v>332</v>
      </c>
      <c r="R139" t="s">
        <v>438</v>
      </c>
      <c r="S139">
        <v>0</v>
      </c>
      <c r="T139">
        <v>0</v>
      </c>
      <c r="U139">
        <v>0</v>
      </c>
      <c r="V139">
        <v>0</v>
      </c>
      <c r="W139">
        <v>0</v>
      </c>
      <c r="X139">
        <v>2</v>
      </c>
      <c r="Y139">
        <v>0</v>
      </c>
      <c r="Z139">
        <v>0</v>
      </c>
      <c r="AA139">
        <v>0</v>
      </c>
      <c r="AB139">
        <v>0</v>
      </c>
      <c r="AC139">
        <v>0</v>
      </c>
      <c r="AD139">
        <v>2</v>
      </c>
      <c r="AE139">
        <v>0</v>
      </c>
      <c r="AF139">
        <v>0</v>
      </c>
      <c r="AG139">
        <v>0</v>
      </c>
      <c r="AH139">
        <v>0</v>
      </c>
      <c r="AI139">
        <v>0</v>
      </c>
      <c r="AJ139">
        <v>0</v>
      </c>
      <c r="AK139">
        <v>0</v>
      </c>
      <c r="AL139">
        <v>0</v>
      </c>
      <c r="AM139">
        <v>0</v>
      </c>
      <c r="AN139">
        <v>0</v>
      </c>
      <c r="AO139">
        <v>0</v>
      </c>
      <c r="AP139">
        <v>0</v>
      </c>
      <c r="AQ139">
        <v>0</v>
      </c>
      <c r="AR139">
        <v>0</v>
      </c>
      <c r="AS139">
        <v>0</v>
      </c>
      <c r="AT139">
        <v>0</v>
      </c>
      <c r="AU139" t="s">
        <v>242</v>
      </c>
      <c r="AV139" t="s">
        <v>457</v>
      </c>
      <c r="AW139" t="s">
        <v>328</v>
      </c>
      <c r="AX139" t="s">
        <v>458</v>
      </c>
      <c r="AY139">
        <v>77087</v>
      </c>
      <c r="AZ139">
        <v>48201332700</v>
      </c>
      <c r="BA139" t="s">
        <v>329</v>
      </c>
      <c r="BB139" t="s">
        <v>330</v>
      </c>
      <c r="BC139">
        <v>53817</v>
      </c>
      <c r="BD139">
        <v>2840</v>
      </c>
      <c r="BE139" t="s">
        <v>407</v>
      </c>
      <c r="BF139" t="s">
        <v>407</v>
      </c>
      <c r="BG139" t="s">
        <v>407</v>
      </c>
    </row>
    <row r="140" spans="1:59" x14ac:dyDescent="0.3">
      <c r="A140">
        <v>438374</v>
      </c>
      <c r="B140">
        <v>18086884</v>
      </c>
      <c r="C140">
        <v>2021</v>
      </c>
      <c r="D140" s="62">
        <v>44220</v>
      </c>
      <c r="E140">
        <v>16</v>
      </c>
      <c r="F140" t="s">
        <v>408</v>
      </c>
      <c r="G140" t="s">
        <v>319</v>
      </c>
      <c r="H140" t="s">
        <v>464</v>
      </c>
      <c r="I140" t="s">
        <v>437</v>
      </c>
      <c r="J140">
        <v>29.68515481</v>
      </c>
      <c r="K140">
        <v>-95.296383109999994</v>
      </c>
      <c r="L140" t="s">
        <v>321</v>
      </c>
      <c r="M140" t="s">
        <v>431</v>
      </c>
      <c r="N140" t="s">
        <v>429</v>
      </c>
      <c r="O140" t="s">
        <v>324</v>
      </c>
      <c r="P140" t="s">
        <v>283</v>
      </c>
      <c r="Q140" t="s">
        <v>278</v>
      </c>
      <c r="R140" t="s">
        <v>406</v>
      </c>
      <c r="S140">
        <v>0</v>
      </c>
      <c r="T140">
        <v>0</v>
      </c>
      <c r="U140">
        <v>0</v>
      </c>
      <c r="V140">
        <v>1</v>
      </c>
      <c r="W140">
        <v>1</v>
      </c>
      <c r="X140">
        <v>3</v>
      </c>
      <c r="Y140">
        <v>0</v>
      </c>
      <c r="Z140">
        <v>0</v>
      </c>
      <c r="AA140">
        <v>0</v>
      </c>
      <c r="AB140">
        <v>0</v>
      </c>
      <c r="AC140">
        <v>1</v>
      </c>
      <c r="AD140">
        <v>3</v>
      </c>
      <c r="AE140">
        <v>1</v>
      </c>
      <c r="AF140">
        <v>0</v>
      </c>
      <c r="AG140">
        <v>0</v>
      </c>
      <c r="AH140">
        <v>0</v>
      </c>
      <c r="AI140">
        <v>0</v>
      </c>
      <c r="AJ140">
        <v>0</v>
      </c>
      <c r="AK140">
        <v>0</v>
      </c>
      <c r="AL140">
        <v>0</v>
      </c>
      <c r="AM140">
        <v>0</v>
      </c>
      <c r="AN140">
        <v>0</v>
      </c>
      <c r="AO140">
        <v>0</v>
      </c>
      <c r="AP140">
        <v>0</v>
      </c>
      <c r="AQ140">
        <v>0</v>
      </c>
      <c r="AR140">
        <v>0</v>
      </c>
      <c r="AS140">
        <v>0</v>
      </c>
      <c r="AT140">
        <v>0</v>
      </c>
      <c r="AU140" t="s">
        <v>242</v>
      </c>
      <c r="AV140" t="s">
        <v>457</v>
      </c>
      <c r="AW140" t="s">
        <v>328</v>
      </c>
      <c r="AX140" t="s">
        <v>458</v>
      </c>
      <c r="AY140">
        <v>77087</v>
      </c>
      <c r="AZ140">
        <v>48201332700</v>
      </c>
      <c r="BA140" t="s">
        <v>329</v>
      </c>
      <c r="BB140" t="s">
        <v>330</v>
      </c>
      <c r="BC140">
        <v>53817</v>
      </c>
      <c r="BD140">
        <v>2840</v>
      </c>
      <c r="BE140" t="s">
        <v>407</v>
      </c>
      <c r="BF140" t="s">
        <v>407</v>
      </c>
      <c r="BG140" t="s">
        <v>407</v>
      </c>
    </row>
    <row r="141" spans="1:59" x14ac:dyDescent="0.3">
      <c r="A141">
        <v>439318</v>
      </c>
      <c r="B141">
        <v>18090660</v>
      </c>
      <c r="C141">
        <v>2021</v>
      </c>
      <c r="D141" s="62">
        <v>44219</v>
      </c>
      <c r="E141">
        <v>14</v>
      </c>
      <c r="F141" t="s">
        <v>436</v>
      </c>
      <c r="G141" t="s">
        <v>319</v>
      </c>
      <c r="H141" t="s">
        <v>453</v>
      </c>
      <c r="I141" t="s">
        <v>411</v>
      </c>
      <c r="J141">
        <v>29.691314810000002</v>
      </c>
      <c r="K141">
        <v>-95.298783110000002</v>
      </c>
      <c r="L141" t="s">
        <v>420</v>
      </c>
      <c r="M141" t="s">
        <v>322</v>
      </c>
      <c r="N141" t="s">
        <v>429</v>
      </c>
      <c r="O141" t="s">
        <v>324</v>
      </c>
      <c r="P141" t="s">
        <v>414</v>
      </c>
      <c r="Q141" t="s">
        <v>331</v>
      </c>
      <c r="R141" t="s">
        <v>447</v>
      </c>
      <c r="S141">
        <v>0</v>
      </c>
      <c r="T141">
        <v>0</v>
      </c>
      <c r="U141">
        <v>0</v>
      </c>
      <c r="V141">
        <v>0</v>
      </c>
      <c r="W141">
        <v>0</v>
      </c>
      <c r="X141">
        <v>2</v>
      </c>
      <c r="Y141">
        <v>0</v>
      </c>
      <c r="Z141">
        <v>0</v>
      </c>
      <c r="AA141">
        <v>0</v>
      </c>
      <c r="AB141">
        <v>0</v>
      </c>
      <c r="AC141">
        <v>0</v>
      </c>
      <c r="AD141">
        <v>2</v>
      </c>
      <c r="AE141">
        <v>0</v>
      </c>
      <c r="AF141">
        <v>0</v>
      </c>
      <c r="AG141">
        <v>0</v>
      </c>
      <c r="AH141">
        <v>0</v>
      </c>
      <c r="AI141">
        <v>0</v>
      </c>
      <c r="AJ141">
        <v>0</v>
      </c>
      <c r="AK141">
        <v>0</v>
      </c>
      <c r="AL141">
        <v>0</v>
      </c>
      <c r="AM141">
        <v>0</v>
      </c>
      <c r="AN141">
        <v>0</v>
      </c>
      <c r="AO141">
        <v>0</v>
      </c>
      <c r="AP141">
        <v>0</v>
      </c>
      <c r="AQ141">
        <v>0</v>
      </c>
      <c r="AR141">
        <v>0</v>
      </c>
      <c r="AS141">
        <v>0</v>
      </c>
      <c r="AT141">
        <v>0</v>
      </c>
      <c r="AU141" t="s">
        <v>242</v>
      </c>
      <c r="AV141" t="s">
        <v>457</v>
      </c>
      <c r="AW141" t="s">
        <v>328</v>
      </c>
      <c r="AX141" t="s">
        <v>458</v>
      </c>
      <c r="AY141">
        <v>77087</v>
      </c>
      <c r="AZ141">
        <v>48201332900</v>
      </c>
      <c r="BA141" t="s">
        <v>329</v>
      </c>
      <c r="BB141" t="s">
        <v>330</v>
      </c>
      <c r="BC141">
        <v>54037</v>
      </c>
      <c r="BD141">
        <v>2892</v>
      </c>
      <c r="BE141" t="s">
        <v>407</v>
      </c>
      <c r="BF141" t="s">
        <v>407</v>
      </c>
      <c r="BG141" t="s">
        <v>407</v>
      </c>
    </row>
    <row r="142" spans="1:59" x14ac:dyDescent="0.3">
      <c r="A142">
        <v>442868</v>
      </c>
      <c r="B142">
        <v>18106232</v>
      </c>
      <c r="C142">
        <v>2021</v>
      </c>
      <c r="D142" s="62">
        <v>44206</v>
      </c>
      <c r="E142">
        <v>18</v>
      </c>
      <c r="F142" t="s">
        <v>408</v>
      </c>
      <c r="G142" t="s">
        <v>319</v>
      </c>
      <c r="H142" t="s">
        <v>453</v>
      </c>
      <c r="I142" t="s">
        <v>320</v>
      </c>
      <c r="J142">
        <v>29.692264810000001</v>
      </c>
      <c r="K142">
        <v>-95.298853109999996</v>
      </c>
      <c r="L142" t="s">
        <v>430</v>
      </c>
      <c r="M142" t="s">
        <v>431</v>
      </c>
      <c r="N142" t="s">
        <v>448</v>
      </c>
      <c r="O142" t="s">
        <v>324</v>
      </c>
      <c r="P142" t="s">
        <v>414</v>
      </c>
      <c r="Q142" t="s">
        <v>331</v>
      </c>
      <c r="R142" t="s">
        <v>406</v>
      </c>
      <c r="S142">
        <v>0</v>
      </c>
      <c r="T142">
        <v>0</v>
      </c>
      <c r="U142">
        <v>0</v>
      </c>
      <c r="V142">
        <v>0</v>
      </c>
      <c r="W142">
        <v>0</v>
      </c>
      <c r="X142">
        <v>4</v>
      </c>
      <c r="Y142">
        <v>0</v>
      </c>
      <c r="Z142">
        <v>0</v>
      </c>
      <c r="AA142">
        <v>0</v>
      </c>
      <c r="AB142">
        <v>0</v>
      </c>
      <c r="AC142">
        <v>0</v>
      </c>
      <c r="AD142">
        <v>4</v>
      </c>
      <c r="AE142">
        <v>0</v>
      </c>
      <c r="AF142">
        <v>0</v>
      </c>
      <c r="AG142">
        <v>0</v>
      </c>
      <c r="AH142">
        <v>0</v>
      </c>
      <c r="AI142">
        <v>0</v>
      </c>
      <c r="AJ142">
        <v>0</v>
      </c>
      <c r="AK142">
        <v>0</v>
      </c>
      <c r="AL142">
        <v>0</v>
      </c>
      <c r="AM142">
        <v>0</v>
      </c>
      <c r="AN142">
        <v>0</v>
      </c>
      <c r="AO142">
        <v>0</v>
      </c>
      <c r="AP142">
        <v>0</v>
      </c>
      <c r="AQ142">
        <v>0</v>
      </c>
      <c r="AR142">
        <v>0</v>
      </c>
      <c r="AS142">
        <v>0</v>
      </c>
      <c r="AT142">
        <v>0</v>
      </c>
      <c r="AU142" t="s">
        <v>242</v>
      </c>
      <c r="AV142" t="s">
        <v>457</v>
      </c>
      <c r="AW142" t="s">
        <v>328</v>
      </c>
      <c r="AX142" t="s">
        <v>458</v>
      </c>
      <c r="AY142">
        <v>77087</v>
      </c>
      <c r="AZ142">
        <v>48201332900</v>
      </c>
      <c r="BA142" t="s">
        <v>329</v>
      </c>
      <c r="BB142" t="s">
        <v>330</v>
      </c>
      <c r="BC142">
        <v>54037</v>
      </c>
      <c r="BD142">
        <v>2892</v>
      </c>
      <c r="BE142" t="s">
        <v>407</v>
      </c>
      <c r="BF142" t="s">
        <v>407</v>
      </c>
      <c r="BG142" t="s">
        <v>407</v>
      </c>
    </row>
    <row r="143" spans="1:59" x14ac:dyDescent="0.3">
      <c r="A143">
        <v>444482</v>
      </c>
      <c r="B143">
        <v>18113104</v>
      </c>
      <c r="C143">
        <v>2021</v>
      </c>
      <c r="D143" s="62">
        <v>44244</v>
      </c>
      <c r="E143">
        <v>17</v>
      </c>
      <c r="F143" t="s">
        <v>405</v>
      </c>
      <c r="G143" t="s">
        <v>319</v>
      </c>
      <c r="H143" t="s">
        <v>496</v>
      </c>
      <c r="I143" t="s">
        <v>427</v>
      </c>
      <c r="J143">
        <v>29.693527939999999</v>
      </c>
      <c r="K143">
        <v>-95.299335400000004</v>
      </c>
      <c r="L143" t="s">
        <v>420</v>
      </c>
      <c r="M143" t="s">
        <v>322</v>
      </c>
      <c r="N143" t="s">
        <v>422</v>
      </c>
      <c r="O143" t="s">
        <v>324</v>
      </c>
      <c r="P143" t="s">
        <v>414</v>
      </c>
      <c r="Q143" t="s">
        <v>331</v>
      </c>
      <c r="R143" t="s">
        <v>326</v>
      </c>
      <c r="S143">
        <v>0</v>
      </c>
      <c r="T143">
        <v>0</v>
      </c>
      <c r="U143">
        <v>0</v>
      </c>
      <c r="V143">
        <v>0</v>
      </c>
      <c r="W143">
        <v>0</v>
      </c>
      <c r="X143">
        <v>2</v>
      </c>
      <c r="Y143">
        <v>0</v>
      </c>
      <c r="Z143">
        <v>0</v>
      </c>
      <c r="AA143">
        <v>0</v>
      </c>
      <c r="AB143">
        <v>0</v>
      </c>
      <c r="AC143">
        <v>0</v>
      </c>
      <c r="AD143">
        <v>2</v>
      </c>
      <c r="AE143">
        <v>0</v>
      </c>
      <c r="AF143">
        <v>0</v>
      </c>
      <c r="AG143">
        <v>0</v>
      </c>
      <c r="AH143">
        <v>0</v>
      </c>
      <c r="AI143">
        <v>0</v>
      </c>
      <c r="AJ143">
        <v>0</v>
      </c>
      <c r="AK143">
        <v>0</v>
      </c>
      <c r="AL143">
        <v>0</v>
      </c>
      <c r="AM143">
        <v>0</v>
      </c>
      <c r="AN143">
        <v>0</v>
      </c>
      <c r="AO143">
        <v>0</v>
      </c>
      <c r="AP143">
        <v>0</v>
      </c>
      <c r="AQ143">
        <v>0</v>
      </c>
      <c r="AR143">
        <v>0</v>
      </c>
      <c r="AS143">
        <v>0</v>
      </c>
      <c r="AT143">
        <v>0</v>
      </c>
      <c r="AU143" t="s">
        <v>242</v>
      </c>
      <c r="AV143" t="s">
        <v>457</v>
      </c>
      <c r="AW143" t="s">
        <v>328</v>
      </c>
      <c r="AX143" t="s">
        <v>458</v>
      </c>
      <c r="AY143">
        <v>77087</v>
      </c>
      <c r="AZ143">
        <v>48201332900</v>
      </c>
      <c r="BA143" t="s">
        <v>329</v>
      </c>
      <c r="BB143" t="s">
        <v>330</v>
      </c>
      <c r="BC143">
        <v>54257</v>
      </c>
      <c r="BD143">
        <v>2892</v>
      </c>
      <c r="BE143" t="s">
        <v>407</v>
      </c>
      <c r="BF143" t="s">
        <v>407</v>
      </c>
      <c r="BG143" t="s">
        <v>407</v>
      </c>
    </row>
    <row r="144" spans="1:59" x14ac:dyDescent="0.3">
      <c r="A144">
        <v>446697</v>
      </c>
      <c r="B144">
        <v>18124093</v>
      </c>
      <c r="C144">
        <v>2021</v>
      </c>
      <c r="D144" s="62">
        <v>44245</v>
      </c>
      <c r="E144">
        <v>9</v>
      </c>
      <c r="F144" t="s">
        <v>425</v>
      </c>
      <c r="G144" t="s">
        <v>319</v>
      </c>
      <c r="H144" t="s">
        <v>453</v>
      </c>
      <c r="I144" t="s">
        <v>437</v>
      </c>
      <c r="J144">
        <v>29.691314810000002</v>
      </c>
      <c r="K144">
        <v>-95.298783110000002</v>
      </c>
      <c r="L144" t="s">
        <v>420</v>
      </c>
      <c r="M144" t="s">
        <v>322</v>
      </c>
      <c r="N144" t="s">
        <v>429</v>
      </c>
      <c r="O144" t="s">
        <v>324</v>
      </c>
      <c r="P144" t="s">
        <v>414</v>
      </c>
      <c r="Q144" t="s">
        <v>331</v>
      </c>
      <c r="R144" t="s">
        <v>433</v>
      </c>
      <c r="S144">
        <v>0</v>
      </c>
      <c r="T144">
        <v>0</v>
      </c>
      <c r="U144">
        <v>0</v>
      </c>
      <c r="V144">
        <v>0</v>
      </c>
      <c r="W144">
        <v>0</v>
      </c>
      <c r="X144">
        <v>2</v>
      </c>
      <c r="Y144">
        <v>0</v>
      </c>
      <c r="Z144">
        <v>0</v>
      </c>
      <c r="AA144">
        <v>0</v>
      </c>
      <c r="AB144">
        <v>0</v>
      </c>
      <c r="AC144">
        <v>0</v>
      </c>
      <c r="AD144">
        <v>2</v>
      </c>
      <c r="AE144">
        <v>0</v>
      </c>
      <c r="AF144">
        <v>0</v>
      </c>
      <c r="AG144">
        <v>0</v>
      </c>
      <c r="AH144">
        <v>0</v>
      </c>
      <c r="AI144">
        <v>0</v>
      </c>
      <c r="AJ144">
        <v>0</v>
      </c>
      <c r="AK144">
        <v>0</v>
      </c>
      <c r="AL144">
        <v>0</v>
      </c>
      <c r="AM144">
        <v>0</v>
      </c>
      <c r="AN144">
        <v>0</v>
      </c>
      <c r="AO144">
        <v>0</v>
      </c>
      <c r="AP144">
        <v>0</v>
      </c>
      <c r="AQ144">
        <v>0</v>
      </c>
      <c r="AR144">
        <v>0</v>
      </c>
      <c r="AS144">
        <v>0</v>
      </c>
      <c r="AT144">
        <v>0</v>
      </c>
      <c r="AU144" t="s">
        <v>242</v>
      </c>
      <c r="AV144" t="s">
        <v>457</v>
      </c>
      <c r="AW144" t="s">
        <v>328</v>
      </c>
      <c r="AX144" t="s">
        <v>458</v>
      </c>
      <c r="AY144">
        <v>77087</v>
      </c>
      <c r="AZ144">
        <v>48201332900</v>
      </c>
      <c r="BA144" t="s">
        <v>329</v>
      </c>
      <c r="BB144" t="s">
        <v>330</v>
      </c>
      <c r="BC144">
        <v>54037</v>
      </c>
      <c r="BD144">
        <v>2892</v>
      </c>
      <c r="BE144" t="s">
        <v>407</v>
      </c>
      <c r="BF144" t="s">
        <v>407</v>
      </c>
      <c r="BG144" t="s">
        <v>407</v>
      </c>
    </row>
    <row r="145" spans="1:59" x14ac:dyDescent="0.3">
      <c r="A145">
        <v>447204</v>
      </c>
      <c r="B145">
        <v>18125895</v>
      </c>
      <c r="C145">
        <v>2021</v>
      </c>
      <c r="D145" s="62">
        <v>44224</v>
      </c>
      <c r="E145">
        <v>15</v>
      </c>
      <c r="F145" t="s">
        <v>425</v>
      </c>
      <c r="G145" t="s">
        <v>319</v>
      </c>
      <c r="H145" t="s">
        <v>453</v>
      </c>
      <c r="I145" t="s">
        <v>427</v>
      </c>
      <c r="J145">
        <v>29.691314810000002</v>
      </c>
      <c r="K145">
        <v>-95.298783110000002</v>
      </c>
      <c r="L145" t="s">
        <v>321</v>
      </c>
      <c r="M145" t="s">
        <v>322</v>
      </c>
      <c r="N145" t="s">
        <v>429</v>
      </c>
      <c r="O145" t="s">
        <v>324</v>
      </c>
      <c r="P145" t="s">
        <v>414</v>
      </c>
      <c r="Q145" t="s">
        <v>331</v>
      </c>
      <c r="R145" t="s">
        <v>497</v>
      </c>
      <c r="S145">
        <v>0</v>
      </c>
      <c r="T145">
        <v>0</v>
      </c>
      <c r="U145">
        <v>0</v>
      </c>
      <c r="V145">
        <v>0</v>
      </c>
      <c r="W145">
        <v>0</v>
      </c>
      <c r="X145">
        <v>2</v>
      </c>
      <c r="Y145">
        <v>0</v>
      </c>
      <c r="Z145">
        <v>0</v>
      </c>
      <c r="AA145">
        <v>0</v>
      </c>
      <c r="AB145">
        <v>0</v>
      </c>
      <c r="AC145">
        <v>0</v>
      </c>
      <c r="AD145">
        <v>2</v>
      </c>
      <c r="AE145">
        <v>0</v>
      </c>
      <c r="AF145">
        <v>0</v>
      </c>
      <c r="AG145">
        <v>0</v>
      </c>
      <c r="AH145">
        <v>0</v>
      </c>
      <c r="AI145">
        <v>0</v>
      </c>
      <c r="AJ145">
        <v>0</v>
      </c>
      <c r="AK145">
        <v>0</v>
      </c>
      <c r="AL145">
        <v>0</v>
      </c>
      <c r="AM145">
        <v>0</v>
      </c>
      <c r="AN145">
        <v>0</v>
      </c>
      <c r="AO145">
        <v>0</v>
      </c>
      <c r="AP145">
        <v>0</v>
      </c>
      <c r="AQ145">
        <v>0</v>
      </c>
      <c r="AR145">
        <v>0</v>
      </c>
      <c r="AS145">
        <v>0</v>
      </c>
      <c r="AT145">
        <v>0</v>
      </c>
      <c r="AU145" t="s">
        <v>242</v>
      </c>
      <c r="AV145" t="s">
        <v>457</v>
      </c>
      <c r="AW145" t="s">
        <v>328</v>
      </c>
      <c r="AX145" t="s">
        <v>458</v>
      </c>
      <c r="AY145">
        <v>77087</v>
      </c>
      <c r="AZ145">
        <v>48201332900</v>
      </c>
      <c r="BA145" t="s">
        <v>329</v>
      </c>
      <c r="BB145" t="s">
        <v>330</v>
      </c>
      <c r="BC145">
        <v>54037</v>
      </c>
      <c r="BD145">
        <v>2892</v>
      </c>
      <c r="BE145" t="s">
        <v>407</v>
      </c>
      <c r="BF145" t="s">
        <v>407</v>
      </c>
      <c r="BG145" t="s">
        <v>407</v>
      </c>
    </row>
    <row r="146" spans="1:59" x14ac:dyDescent="0.3">
      <c r="A146">
        <v>451041</v>
      </c>
      <c r="B146">
        <v>18141217</v>
      </c>
      <c r="C146">
        <v>2021</v>
      </c>
      <c r="D146" s="62">
        <v>44261</v>
      </c>
      <c r="E146">
        <v>2</v>
      </c>
      <c r="F146" t="s">
        <v>436</v>
      </c>
      <c r="G146" t="s">
        <v>319</v>
      </c>
      <c r="H146" t="s">
        <v>496</v>
      </c>
      <c r="I146" t="s">
        <v>320</v>
      </c>
      <c r="J146">
        <v>29.693517159999999</v>
      </c>
      <c r="K146">
        <v>-95.299358159999997</v>
      </c>
      <c r="L146" t="s">
        <v>420</v>
      </c>
      <c r="M146" t="s">
        <v>431</v>
      </c>
      <c r="N146" t="s">
        <v>429</v>
      </c>
      <c r="O146" t="s">
        <v>324</v>
      </c>
      <c r="P146" t="s">
        <v>414</v>
      </c>
      <c r="Q146" t="s">
        <v>278</v>
      </c>
      <c r="R146" t="s">
        <v>487</v>
      </c>
      <c r="S146">
        <v>0</v>
      </c>
      <c r="T146">
        <v>0</v>
      </c>
      <c r="U146">
        <v>0</v>
      </c>
      <c r="V146">
        <v>0</v>
      </c>
      <c r="W146">
        <v>0</v>
      </c>
      <c r="X146">
        <v>3</v>
      </c>
      <c r="Y146">
        <v>0</v>
      </c>
      <c r="Z146">
        <v>0</v>
      </c>
      <c r="AA146">
        <v>0</v>
      </c>
      <c r="AB146">
        <v>0</v>
      </c>
      <c r="AC146">
        <v>0</v>
      </c>
      <c r="AD146">
        <v>3</v>
      </c>
      <c r="AE146">
        <v>0</v>
      </c>
      <c r="AF146">
        <v>0</v>
      </c>
      <c r="AG146">
        <v>0</v>
      </c>
      <c r="AH146">
        <v>0</v>
      </c>
      <c r="AI146">
        <v>0</v>
      </c>
      <c r="AJ146">
        <v>0</v>
      </c>
      <c r="AK146">
        <v>0</v>
      </c>
      <c r="AL146">
        <v>0</v>
      </c>
      <c r="AM146">
        <v>0</v>
      </c>
      <c r="AN146">
        <v>0</v>
      </c>
      <c r="AO146">
        <v>0</v>
      </c>
      <c r="AP146">
        <v>0</v>
      </c>
      <c r="AQ146">
        <v>0</v>
      </c>
      <c r="AR146">
        <v>0</v>
      </c>
      <c r="AS146">
        <v>0</v>
      </c>
      <c r="AT146">
        <v>0</v>
      </c>
      <c r="AU146" t="s">
        <v>242</v>
      </c>
      <c r="AV146" t="s">
        <v>457</v>
      </c>
      <c r="AW146" t="s">
        <v>328</v>
      </c>
      <c r="AX146" t="s">
        <v>458</v>
      </c>
      <c r="AY146">
        <v>77087</v>
      </c>
      <c r="AZ146">
        <v>48201332900</v>
      </c>
      <c r="BA146" t="s">
        <v>329</v>
      </c>
      <c r="BB146" t="s">
        <v>330</v>
      </c>
      <c r="BC146">
        <v>54257</v>
      </c>
      <c r="BD146">
        <v>2892</v>
      </c>
      <c r="BE146" t="s">
        <v>407</v>
      </c>
      <c r="BF146" t="s">
        <v>407</v>
      </c>
      <c r="BG146" t="s">
        <v>407</v>
      </c>
    </row>
    <row r="147" spans="1:59" x14ac:dyDescent="0.3">
      <c r="A147">
        <v>453637</v>
      </c>
      <c r="B147">
        <v>18151653</v>
      </c>
      <c r="C147">
        <v>2021</v>
      </c>
      <c r="D147" s="62">
        <v>44265</v>
      </c>
      <c r="E147">
        <v>18</v>
      </c>
      <c r="F147" t="s">
        <v>405</v>
      </c>
      <c r="G147" t="s">
        <v>319</v>
      </c>
      <c r="H147" t="s">
        <v>453</v>
      </c>
      <c r="I147" t="s">
        <v>411</v>
      </c>
      <c r="J147">
        <v>29.684905149999999</v>
      </c>
      <c r="K147">
        <v>-95.29625618</v>
      </c>
      <c r="L147" t="s">
        <v>430</v>
      </c>
      <c r="M147" t="s">
        <v>431</v>
      </c>
      <c r="N147" t="s">
        <v>429</v>
      </c>
      <c r="O147" t="s">
        <v>324</v>
      </c>
      <c r="P147" t="s">
        <v>414</v>
      </c>
      <c r="Q147" t="s">
        <v>332</v>
      </c>
      <c r="R147" t="s">
        <v>434</v>
      </c>
      <c r="S147">
        <v>0</v>
      </c>
      <c r="T147">
        <v>0</v>
      </c>
      <c r="U147">
        <v>0</v>
      </c>
      <c r="V147">
        <v>0</v>
      </c>
      <c r="W147">
        <v>0</v>
      </c>
      <c r="X147">
        <v>2</v>
      </c>
      <c r="Y147">
        <v>0</v>
      </c>
      <c r="Z147">
        <v>0</v>
      </c>
      <c r="AA147">
        <v>0</v>
      </c>
      <c r="AB147">
        <v>0</v>
      </c>
      <c r="AC147">
        <v>0</v>
      </c>
      <c r="AD147">
        <v>2</v>
      </c>
      <c r="AE147">
        <v>0</v>
      </c>
      <c r="AF147">
        <v>0</v>
      </c>
      <c r="AG147">
        <v>0</v>
      </c>
      <c r="AH147">
        <v>0</v>
      </c>
      <c r="AI147">
        <v>0</v>
      </c>
      <c r="AJ147">
        <v>0</v>
      </c>
      <c r="AK147">
        <v>0</v>
      </c>
      <c r="AL147">
        <v>0</v>
      </c>
      <c r="AM147">
        <v>0</v>
      </c>
      <c r="AN147">
        <v>0</v>
      </c>
      <c r="AO147">
        <v>0</v>
      </c>
      <c r="AP147">
        <v>0</v>
      </c>
      <c r="AQ147">
        <v>0</v>
      </c>
      <c r="AR147">
        <v>0</v>
      </c>
      <c r="AS147">
        <v>0</v>
      </c>
      <c r="AT147">
        <v>0</v>
      </c>
      <c r="AU147" t="s">
        <v>242</v>
      </c>
      <c r="AV147" t="s">
        <v>457</v>
      </c>
      <c r="AW147" t="s">
        <v>328</v>
      </c>
      <c r="AX147" t="s">
        <v>458</v>
      </c>
      <c r="AY147">
        <v>77087</v>
      </c>
      <c r="AZ147">
        <v>48201332700</v>
      </c>
      <c r="BA147" t="s">
        <v>329</v>
      </c>
      <c r="BB147" t="s">
        <v>330</v>
      </c>
      <c r="BC147">
        <v>53817</v>
      </c>
      <c r="BD147">
        <v>2840</v>
      </c>
      <c r="BE147" t="s">
        <v>407</v>
      </c>
      <c r="BF147" t="s">
        <v>407</v>
      </c>
      <c r="BG147" t="s">
        <v>407</v>
      </c>
    </row>
    <row r="148" spans="1:59" x14ac:dyDescent="0.3">
      <c r="A148">
        <v>454387</v>
      </c>
      <c r="B148">
        <v>18154701</v>
      </c>
      <c r="C148">
        <v>2021</v>
      </c>
      <c r="D148" s="62">
        <v>44271</v>
      </c>
      <c r="E148">
        <v>15</v>
      </c>
      <c r="F148" t="s">
        <v>318</v>
      </c>
      <c r="G148" t="s">
        <v>319</v>
      </c>
      <c r="H148" t="s">
        <v>473</v>
      </c>
      <c r="I148" t="s">
        <v>419</v>
      </c>
      <c r="J148">
        <v>29.67510352</v>
      </c>
      <c r="K148">
        <v>-95.289242439999995</v>
      </c>
      <c r="L148" t="s">
        <v>321</v>
      </c>
      <c r="M148" t="s">
        <v>322</v>
      </c>
      <c r="N148" t="s">
        <v>323</v>
      </c>
      <c r="O148" t="s">
        <v>324</v>
      </c>
      <c r="P148" t="s">
        <v>414</v>
      </c>
      <c r="Q148" t="s">
        <v>331</v>
      </c>
      <c r="R148" t="s">
        <v>326</v>
      </c>
      <c r="S148">
        <v>0</v>
      </c>
      <c r="T148">
        <v>0</v>
      </c>
      <c r="U148">
        <v>0</v>
      </c>
      <c r="V148">
        <v>0</v>
      </c>
      <c r="W148">
        <v>0</v>
      </c>
      <c r="X148">
        <v>8</v>
      </c>
      <c r="Y148">
        <v>0</v>
      </c>
      <c r="Z148">
        <v>0</v>
      </c>
      <c r="AA148">
        <v>0</v>
      </c>
      <c r="AB148">
        <v>0</v>
      </c>
      <c r="AC148">
        <v>0</v>
      </c>
      <c r="AD148">
        <v>8</v>
      </c>
      <c r="AE148">
        <v>0</v>
      </c>
      <c r="AF148">
        <v>0</v>
      </c>
      <c r="AG148">
        <v>0</v>
      </c>
      <c r="AH148">
        <v>0</v>
      </c>
      <c r="AI148">
        <v>0</v>
      </c>
      <c r="AJ148">
        <v>0</v>
      </c>
      <c r="AK148">
        <v>0</v>
      </c>
      <c r="AL148">
        <v>0</v>
      </c>
      <c r="AM148">
        <v>0</v>
      </c>
      <c r="AN148">
        <v>0</v>
      </c>
      <c r="AO148">
        <v>0</v>
      </c>
      <c r="AP148">
        <v>0</v>
      </c>
      <c r="AQ148">
        <v>0</v>
      </c>
      <c r="AR148">
        <v>0</v>
      </c>
      <c r="AS148">
        <v>0</v>
      </c>
      <c r="AT148">
        <v>0</v>
      </c>
      <c r="AU148" t="s">
        <v>242</v>
      </c>
      <c r="AV148" t="s">
        <v>457</v>
      </c>
      <c r="AW148" t="s">
        <v>328</v>
      </c>
      <c r="AX148" t="s">
        <v>458</v>
      </c>
      <c r="AY148">
        <v>77087</v>
      </c>
      <c r="AZ148">
        <v>48201333000</v>
      </c>
      <c r="BA148" t="s">
        <v>329</v>
      </c>
      <c r="BB148" t="s">
        <v>330</v>
      </c>
      <c r="BC148">
        <v>53378</v>
      </c>
      <c r="BD148">
        <v>2840</v>
      </c>
      <c r="BE148" t="s">
        <v>407</v>
      </c>
      <c r="BF148" t="s">
        <v>407</v>
      </c>
      <c r="BG148" t="s">
        <v>407</v>
      </c>
    </row>
    <row r="149" spans="1:59" x14ac:dyDescent="0.3">
      <c r="A149">
        <v>458089</v>
      </c>
      <c r="B149">
        <v>18169599</v>
      </c>
      <c r="C149">
        <v>2021</v>
      </c>
      <c r="D149" s="62">
        <v>44282</v>
      </c>
      <c r="E149">
        <v>15</v>
      </c>
      <c r="F149" t="s">
        <v>436</v>
      </c>
      <c r="G149" t="s">
        <v>319</v>
      </c>
      <c r="H149" t="s">
        <v>473</v>
      </c>
      <c r="I149" t="s">
        <v>427</v>
      </c>
      <c r="J149">
        <v>29.67510352</v>
      </c>
      <c r="K149">
        <v>-95.289242439999995</v>
      </c>
      <c r="L149" t="s">
        <v>321</v>
      </c>
      <c r="M149" t="s">
        <v>322</v>
      </c>
      <c r="N149" t="s">
        <v>323</v>
      </c>
      <c r="O149" t="s">
        <v>324</v>
      </c>
      <c r="P149" t="s">
        <v>414</v>
      </c>
      <c r="Q149" t="s">
        <v>332</v>
      </c>
      <c r="R149" t="s">
        <v>426</v>
      </c>
      <c r="S149">
        <v>0</v>
      </c>
      <c r="T149">
        <v>0</v>
      </c>
      <c r="U149">
        <v>0</v>
      </c>
      <c r="V149">
        <v>0</v>
      </c>
      <c r="W149">
        <v>0</v>
      </c>
      <c r="X149">
        <v>1</v>
      </c>
      <c r="Y149">
        <v>0</v>
      </c>
      <c r="Z149">
        <v>0</v>
      </c>
      <c r="AA149">
        <v>0</v>
      </c>
      <c r="AB149">
        <v>0</v>
      </c>
      <c r="AC149">
        <v>0</v>
      </c>
      <c r="AD149">
        <v>1</v>
      </c>
      <c r="AE149">
        <v>0</v>
      </c>
      <c r="AF149">
        <v>0</v>
      </c>
      <c r="AG149">
        <v>0</v>
      </c>
      <c r="AH149">
        <v>0</v>
      </c>
      <c r="AI149">
        <v>0</v>
      </c>
      <c r="AJ149">
        <v>0</v>
      </c>
      <c r="AK149">
        <v>0</v>
      </c>
      <c r="AL149">
        <v>0</v>
      </c>
      <c r="AM149">
        <v>0</v>
      </c>
      <c r="AN149">
        <v>0</v>
      </c>
      <c r="AO149">
        <v>0</v>
      </c>
      <c r="AP149">
        <v>0</v>
      </c>
      <c r="AQ149">
        <v>0</v>
      </c>
      <c r="AR149">
        <v>0</v>
      </c>
      <c r="AS149">
        <v>0</v>
      </c>
      <c r="AT149">
        <v>0</v>
      </c>
      <c r="AU149" t="s">
        <v>242</v>
      </c>
      <c r="AV149" t="s">
        <v>457</v>
      </c>
      <c r="AW149" t="s">
        <v>328</v>
      </c>
      <c r="AX149" t="s">
        <v>458</v>
      </c>
      <c r="AY149">
        <v>77087</v>
      </c>
      <c r="AZ149">
        <v>48201333000</v>
      </c>
      <c r="BA149" t="s">
        <v>329</v>
      </c>
      <c r="BB149" t="s">
        <v>330</v>
      </c>
      <c r="BC149">
        <v>53378</v>
      </c>
      <c r="BD149">
        <v>2840</v>
      </c>
      <c r="BE149" t="s">
        <v>407</v>
      </c>
      <c r="BF149" t="s">
        <v>407</v>
      </c>
      <c r="BG149" t="s">
        <v>407</v>
      </c>
    </row>
    <row r="150" spans="1:59" x14ac:dyDescent="0.3">
      <c r="A150">
        <v>458349</v>
      </c>
      <c r="B150">
        <v>18170503</v>
      </c>
      <c r="C150">
        <v>2021</v>
      </c>
      <c r="D150" s="62">
        <v>44277</v>
      </c>
      <c r="E150">
        <v>20</v>
      </c>
      <c r="F150" t="s">
        <v>417</v>
      </c>
      <c r="G150" t="s">
        <v>319</v>
      </c>
      <c r="H150" t="s">
        <v>453</v>
      </c>
      <c r="I150" t="s">
        <v>427</v>
      </c>
      <c r="J150">
        <v>29.67647419</v>
      </c>
      <c r="K150">
        <v>-95.29049268</v>
      </c>
      <c r="L150" t="s">
        <v>430</v>
      </c>
      <c r="M150" t="s">
        <v>431</v>
      </c>
      <c r="N150" t="s">
        <v>323</v>
      </c>
      <c r="O150" t="s">
        <v>445</v>
      </c>
      <c r="P150" t="s">
        <v>283</v>
      </c>
      <c r="Q150" t="s">
        <v>332</v>
      </c>
      <c r="R150" t="s">
        <v>434</v>
      </c>
      <c r="S150">
        <v>0</v>
      </c>
      <c r="T150">
        <v>0</v>
      </c>
      <c r="U150">
        <v>0</v>
      </c>
      <c r="V150">
        <v>1</v>
      </c>
      <c r="W150">
        <v>1</v>
      </c>
      <c r="X150">
        <v>0</v>
      </c>
      <c r="Y150">
        <v>0</v>
      </c>
      <c r="Z150">
        <v>0</v>
      </c>
      <c r="AA150">
        <v>0</v>
      </c>
      <c r="AB150">
        <v>0</v>
      </c>
      <c r="AC150">
        <v>1</v>
      </c>
      <c r="AD150">
        <v>0</v>
      </c>
      <c r="AE150">
        <v>1</v>
      </c>
      <c r="AF150">
        <v>0</v>
      </c>
      <c r="AG150">
        <v>0</v>
      </c>
      <c r="AH150">
        <v>0</v>
      </c>
      <c r="AI150">
        <v>0</v>
      </c>
      <c r="AJ150">
        <v>0</v>
      </c>
      <c r="AK150">
        <v>0</v>
      </c>
      <c r="AL150">
        <v>0</v>
      </c>
      <c r="AM150">
        <v>0</v>
      </c>
      <c r="AN150">
        <v>0</v>
      </c>
      <c r="AO150">
        <v>0</v>
      </c>
      <c r="AP150">
        <v>0</v>
      </c>
      <c r="AQ150">
        <v>0</v>
      </c>
      <c r="AR150">
        <v>0</v>
      </c>
      <c r="AS150">
        <v>0</v>
      </c>
      <c r="AT150">
        <v>0</v>
      </c>
      <c r="AU150" t="s">
        <v>242</v>
      </c>
      <c r="AV150" t="s">
        <v>327</v>
      </c>
      <c r="AW150" t="s">
        <v>328</v>
      </c>
      <c r="AX150" t="s">
        <v>458</v>
      </c>
      <c r="AY150">
        <v>77087</v>
      </c>
      <c r="AZ150">
        <v>48201332600</v>
      </c>
      <c r="BA150" t="s">
        <v>329</v>
      </c>
      <c r="BB150" t="s">
        <v>330</v>
      </c>
      <c r="BC150">
        <v>158757</v>
      </c>
      <c r="BD150">
        <v>2840</v>
      </c>
      <c r="BE150" t="s">
        <v>407</v>
      </c>
      <c r="BF150" t="s">
        <v>407</v>
      </c>
      <c r="BG150" t="s">
        <v>407</v>
      </c>
    </row>
    <row r="151" spans="1:59" x14ac:dyDescent="0.3">
      <c r="A151">
        <v>458372</v>
      </c>
      <c r="B151">
        <v>18170538</v>
      </c>
      <c r="C151">
        <v>2021</v>
      </c>
      <c r="D151" s="62">
        <v>44274</v>
      </c>
      <c r="E151">
        <v>18</v>
      </c>
      <c r="F151" t="s">
        <v>418</v>
      </c>
      <c r="G151" t="s">
        <v>319</v>
      </c>
      <c r="H151" t="s">
        <v>453</v>
      </c>
      <c r="I151" t="s">
        <v>320</v>
      </c>
      <c r="J151">
        <v>29.691314810000002</v>
      </c>
      <c r="K151">
        <v>-95.298783110000002</v>
      </c>
      <c r="L151" t="s">
        <v>321</v>
      </c>
      <c r="M151" t="s">
        <v>322</v>
      </c>
      <c r="N151" t="s">
        <v>323</v>
      </c>
      <c r="O151" t="s">
        <v>498</v>
      </c>
      <c r="P151" t="s">
        <v>283</v>
      </c>
      <c r="Q151" t="s">
        <v>331</v>
      </c>
      <c r="R151" t="s">
        <v>447</v>
      </c>
      <c r="S151">
        <v>0</v>
      </c>
      <c r="T151">
        <v>0</v>
      </c>
      <c r="U151">
        <v>0</v>
      </c>
      <c r="V151">
        <v>1</v>
      </c>
      <c r="W151">
        <v>1</v>
      </c>
      <c r="X151">
        <v>1</v>
      </c>
      <c r="Y151">
        <v>0</v>
      </c>
      <c r="Z151">
        <v>0</v>
      </c>
      <c r="AA151">
        <v>0</v>
      </c>
      <c r="AB151">
        <v>0</v>
      </c>
      <c r="AC151">
        <v>0</v>
      </c>
      <c r="AD151">
        <v>1</v>
      </c>
      <c r="AE151">
        <v>0</v>
      </c>
      <c r="AF151">
        <v>0</v>
      </c>
      <c r="AG151">
        <v>0</v>
      </c>
      <c r="AH151">
        <v>0</v>
      </c>
      <c r="AI151">
        <v>0</v>
      </c>
      <c r="AJ151">
        <v>0</v>
      </c>
      <c r="AK151">
        <v>0</v>
      </c>
      <c r="AL151">
        <v>0</v>
      </c>
      <c r="AM151">
        <v>0</v>
      </c>
      <c r="AN151">
        <v>0</v>
      </c>
      <c r="AO151">
        <v>0</v>
      </c>
      <c r="AP151">
        <v>0</v>
      </c>
      <c r="AQ151">
        <v>1</v>
      </c>
      <c r="AR151">
        <v>0</v>
      </c>
      <c r="AS151">
        <v>1</v>
      </c>
      <c r="AT151">
        <v>0</v>
      </c>
      <c r="AU151" t="s">
        <v>242</v>
      </c>
      <c r="AV151" t="s">
        <v>457</v>
      </c>
      <c r="AW151" t="s">
        <v>328</v>
      </c>
      <c r="AX151" t="s">
        <v>458</v>
      </c>
      <c r="AY151">
        <v>77087</v>
      </c>
      <c r="AZ151">
        <v>48201332900</v>
      </c>
      <c r="BA151" t="s">
        <v>329</v>
      </c>
      <c r="BB151" t="s">
        <v>330</v>
      </c>
      <c r="BC151">
        <v>54037</v>
      </c>
      <c r="BD151">
        <v>2892</v>
      </c>
      <c r="BE151" t="s">
        <v>407</v>
      </c>
      <c r="BF151" t="s">
        <v>407</v>
      </c>
      <c r="BG151" t="s">
        <v>407</v>
      </c>
    </row>
    <row r="152" spans="1:59" x14ac:dyDescent="0.3">
      <c r="A152">
        <v>460527</v>
      </c>
      <c r="B152">
        <v>18180184</v>
      </c>
      <c r="C152">
        <v>2021</v>
      </c>
      <c r="D152" s="62">
        <v>44288</v>
      </c>
      <c r="E152">
        <v>10</v>
      </c>
      <c r="F152" t="s">
        <v>418</v>
      </c>
      <c r="G152" t="s">
        <v>319</v>
      </c>
      <c r="H152" t="s">
        <v>469</v>
      </c>
      <c r="I152" t="s">
        <v>411</v>
      </c>
      <c r="J152">
        <v>29.68515481</v>
      </c>
      <c r="K152">
        <v>-95.296108450000006</v>
      </c>
      <c r="L152" t="s">
        <v>321</v>
      </c>
      <c r="M152" t="s">
        <v>322</v>
      </c>
      <c r="N152" t="s">
        <v>422</v>
      </c>
      <c r="O152" t="s">
        <v>324</v>
      </c>
      <c r="P152" t="s">
        <v>428</v>
      </c>
      <c r="Q152" t="s">
        <v>325</v>
      </c>
      <c r="R152" t="s">
        <v>412</v>
      </c>
      <c r="S152">
        <v>0</v>
      </c>
      <c r="T152">
        <v>0</v>
      </c>
      <c r="U152">
        <v>0</v>
      </c>
      <c r="V152">
        <v>0</v>
      </c>
      <c r="W152">
        <v>0</v>
      </c>
      <c r="X152">
        <v>0</v>
      </c>
      <c r="Y152">
        <v>2</v>
      </c>
      <c r="Z152">
        <v>0</v>
      </c>
      <c r="AA152">
        <v>0</v>
      </c>
      <c r="AB152">
        <v>0</v>
      </c>
      <c r="AC152">
        <v>0</v>
      </c>
      <c r="AD152">
        <v>0</v>
      </c>
      <c r="AE152">
        <v>0</v>
      </c>
      <c r="AF152">
        <v>2</v>
      </c>
      <c r="AG152">
        <v>0</v>
      </c>
      <c r="AH152">
        <v>0</v>
      </c>
      <c r="AI152">
        <v>0</v>
      </c>
      <c r="AJ152">
        <v>0</v>
      </c>
      <c r="AK152">
        <v>0</v>
      </c>
      <c r="AL152">
        <v>0</v>
      </c>
      <c r="AM152">
        <v>0</v>
      </c>
      <c r="AN152">
        <v>0</v>
      </c>
      <c r="AO152">
        <v>0</v>
      </c>
      <c r="AP152">
        <v>0</v>
      </c>
      <c r="AQ152">
        <v>0</v>
      </c>
      <c r="AR152">
        <v>0</v>
      </c>
      <c r="AS152">
        <v>0</v>
      </c>
      <c r="AT152">
        <v>0</v>
      </c>
      <c r="AU152" t="s">
        <v>242</v>
      </c>
      <c r="AV152" t="s">
        <v>457</v>
      </c>
      <c r="AW152" t="s">
        <v>328</v>
      </c>
      <c r="AX152" t="s">
        <v>458</v>
      </c>
      <c r="AY152">
        <v>77087</v>
      </c>
      <c r="AZ152">
        <v>48201332900</v>
      </c>
      <c r="BA152" t="s">
        <v>329</v>
      </c>
      <c r="BB152" t="s">
        <v>330</v>
      </c>
      <c r="BC152">
        <v>53817</v>
      </c>
      <c r="BD152">
        <v>2840</v>
      </c>
      <c r="BE152" t="s">
        <v>407</v>
      </c>
      <c r="BF152" t="s">
        <v>407</v>
      </c>
      <c r="BG152" t="s">
        <v>407</v>
      </c>
    </row>
    <row r="153" spans="1:59" x14ac:dyDescent="0.3">
      <c r="A153">
        <v>462640</v>
      </c>
      <c r="B153">
        <v>18188893</v>
      </c>
      <c r="C153">
        <v>2021</v>
      </c>
      <c r="D153" s="62">
        <v>44292</v>
      </c>
      <c r="E153">
        <v>7</v>
      </c>
      <c r="F153" t="s">
        <v>318</v>
      </c>
      <c r="G153" t="s">
        <v>319</v>
      </c>
      <c r="H153" t="s">
        <v>482</v>
      </c>
      <c r="I153" t="s">
        <v>320</v>
      </c>
      <c r="J153">
        <v>29.68142679</v>
      </c>
      <c r="K153">
        <v>-95.294101960000006</v>
      </c>
      <c r="L153" t="s">
        <v>430</v>
      </c>
      <c r="M153" t="s">
        <v>322</v>
      </c>
      <c r="N153" t="s">
        <v>323</v>
      </c>
      <c r="O153" t="s">
        <v>445</v>
      </c>
      <c r="P153" t="s">
        <v>283</v>
      </c>
      <c r="Q153" t="s">
        <v>278</v>
      </c>
      <c r="R153" t="s">
        <v>426</v>
      </c>
      <c r="S153">
        <v>0</v>
      </c>
      <c r="T153">
        <v>0</v>
      </c>
      <c r="U153">
        <v>0</v>
      </c>
      <c r="V153">
        <v>1</v>
      </c>
      <c r="W153">
        <v>1</v>
      </c>
      <c r="X153">
        <v>0</v>
      </c>
      <c r="Y153">
        <v>0</v>
      </c>
      <c r="Z153">
        <v>0</v>
      </c>
      <c r="AA153">
        <v>0</v>
      </c>
      <c r="AB153">
        <v>0</v>
      </c>
      <c r="AC153">
        <v>1</v>
      </c>
      <c r="AD153">
        <v>0</v>
      </c>
      <c r="AE153">
        <v>1</v>
      </c>
      <c r="AF153">
        <v>0</v>
      </c>
      <c r="AG153">
        <v>0</v>
      </c>
      <c r="AH153">
        <v>0</v>
      </c>
      <c r="AI153">
        <v>0</v>
      </c>
      <c r="AJ153">
        <v>0</v>
      </c>
      <c r="AK153">
        <v>0</v>
      </c>
      <c r="AL153">
        <v>0</v>
      </c>
      <c r="AM153">
        <v>0</v>
      </c>
      <c r="AN153">
        <v>0</v>
      </c>
      <c r="AO153">
        <v>0</v>
      </c>
      <c r="AP153">
        <v>0</v>
      </c>
      <c r="AQ153">
        <v>0</v>
      </c>
      <c r="AR153">
        <v>0</v>
      </c>
      <c r="AS153">
        <v>0</v>
      </c>
      <c r="AT153">
        <v>0</v>
      </c>
      <c r="AU153" t="s">
        <v>242</v>
      </c>
      <c r="AV153" t="s">
        <v>457</v>
      </c>
      <c r="AW153" t="s">
        <v>328</v>
      </c>
      <c r="AX153" t="s">
        <v>458</v>
      </c>
      <c r="AY153">
        <v>77087</v>
      </c>
      <c r="AZ153">
        <v>48201332600</v>
      </c>
      <c r="BA153" t="s">
        <v>329</v>
      </c>
      <c r="BB153" t="s">
        <v>330</v>
      </c>
      <c r="BC153">
        <v>158977</v>
      </c>
      <c r="BD153">
        <v>2840</v>
      </c>
      <c r="BE153" t="s">
        <v>407</v>
      </c>
      <c r="BF153" t="s">
        <v>407</v>
      </c>
      <c r="BG153" t="s">
        <v>407</v>
      </c>
    </row>
    <row r="154" spans="1:59" x14ac:dyDescent="0.3">
      <c r="A154">
        <v>462670</v>
      </c>
      <c r="B154">
        <v>18188985</v>
      </c>
      <c r="C154">
        <v>2021</v>
      </c>
      <c r="D154" s="62">
        <v>44288</v>
      </c>
      <c r="E154">
        <v>17</v>
      </c>
      <c r="F154" t="s">
        <v>418</v>
      </c>
      <c r="G154" t="s">
        <v>319</v>
      </c>
      <c r="H154" t="s">
        <v>453</v>
      </c>
      <c r="I154" t="s">
        <v>427</v>
      </c>
      <c r="J154">
        <v>29.686084810000001</v>
      </c>
      <c r="K154">
        <v>-95.296923109999994</v>
      </c>
      <c r="L154" t="s">
        <v>321</v>
      </c>
      <c r="M154" t="s">
        <v>322</v>
      </c>
      <c r="N154" t="s">
        <v>323</v>
      </c>
      <c r="O154" t="s">
        <v>445</v>
      </c>
      <c r="P154" t="s">
        <v>428</v>
      </c>
      <c r="Q154" t="s">
        <v>332</v>
      </c>
      <c r="R154" t="s">
        <v>426</v>
      </c>
      <c r="AU154" t="s">
        <v>242</v>
      </c>
      <c r="AV154" t="s">
        <v>457</v>
      </c>
      <c r="AW154" t="s">
        <v>328</v>
      </c>
      <c r="AX154" t="s">
        <v>458</v>
      </c>
      <c r="AY154">
        <v>77087</v>
      </c>
      <c r="AZ154">
        <v>48201332800</v>
      </c>
      <c r="BA154" t="s">
        <v>329</v>
      </c>
      <c r="BB154" t="s">
        <v>330</v>
      </c>
      <c r="BC154">
        <v>53817</v>
      </c>
      <c r="BD154">
        <v>2840</v>
      </c>
      <c r="BE154" t="s">
        <v>407</v>
      </c>
      <c r="BF154" t="s">
        <v>407</v>
      </c>
      <c r="BG154" t="s">
        <v>407</v>
      </c>
    </row>
    <row r="155" spans="1:59" x14ac:dyDescent="0.3">
      <c r="A155">
        <v>476235</v>
      </c>
      <c r="B155">
        <v>18242926</v>
      </c>
      <c r="C155">
        <v>2021</v>
      </c>
      <c r="D155" s="62">
        <v>44322</v>
      </c>
      <c r="E155">
        <v>19</v>
      </c>
      <c r="F155" t="s">
        <v>425</v>
      </c>
      <c r="G155" t="s">
        <v>319</v>
      </c>
      <c r="H155" t="s">
        <v>453</v>
      </c>
      <c r="I155" t="s">
        <v>437</v>
      </c>
      <c r="J155">
        <v>29.693771810000001</v>
      </c>
      <c r="K155">
        <v>-95.299472890000004</v>
      </c>
      <c r="L155" t="s">
        <v>321</v>
      </c>
      <c r="M155" t="s">
        <v>322</v>
      </c>
      <c r="N155" t="s">
        <v>323</v>
      </c>
      <c r="O155" t="s">
        <v>324</v>
      </c>
      <c r="P155" t="s">
        <v>283</v>
      </c>
      <c r="Q155" t="s">
        <v>325</v>
      </c>
      <c r="R155" t="s">
        <v>443</v>
      </c>
      <c r="S155">
        <v>0</v>
      </c>
      <c r="T155">
        <v>0</v>
      </c>
      <c r="U155">
        <v>0</v>
      </c>
      <c r="V155">
        <v>1</v>
      </c>
      <c r="W155">
        <v>1</v>
      </c>
      <c r="X155">
        <v>3</v>
      </c>
      <c r="Y155">
        <v>0</v>
      </c>
      <c r="Z155">
        <v>0</v>
      </c>
      <c r="AA155">
        <v>0</v>
      </c>
      <c r="AB155">
        <v>0</v>
      </c>
      <c r="AC155">
        <v>1</v>
      </c>
      <c r="AD155">
        <v>3</v>
      </c>
      <c r="AE155">
        <v>1</v>
      </c>
      <c r="AF155">
        <v>0</v>
      </c>
      <c r="AG155">
        <v>0</v>
      </c>
      <c r="AH155">
        <v>0</v>
      </c>
      <c r="AI155">
        <v>0</v>
      </c>
      <c r="AJ155">
        <v>0</v>
      </c>
      <c r="AK155">
        <v>0</v>
      </c>
      <c r="AL155">
        <v>0</v>
      </c>
      <c r="AM155">
        <v>0</v>
      </c>
      <c r="AN155">
        <v>0</v>
      </c>
      <c r="AO155">
        <v>0</v>
      </c>
      <c r="AP155">
        <v>0</v>
      </c>
      <c r="AQ155">
        <v>0</v>
      </c>
      <c r="AR155">
        <v>0</v>
      </c>
      <c r="AS155">
        <v>0</v>
      </c>
      <c r="AT155">
        <v>0</v>
      </c>
      <c r="AU155" t="s">
        <v>242</v>
      </c>
      <c r="AV155" t="s">
        <v>457</v>
      </c>
      <c r="AW155" t="s">
        <v>328</v>
      </c>
      <c r="AX155" t="s">
        <v>458</v>
      </c>
      <c r="AY155">
        <v>77087</v>
      </c>
      <c r="AZ155">
        <v>48201332900</v>
      </c>
      <c r="BA155" t="s">
        <v>329</v>
      </c>
      <c r="BB155" t="s">
        <v>330</v>
      </c>
      <c r="BC155">
        <v>54257</v>
      </c>
      <c r="BD155">
        <v>2892</v>
      </c>
      <c r="BE155" t="s">
        <v>407</v>
      </c>
      <c r="BF155" t="s">
        <v>407</v>
      </c>
      <c r="BG155" t="s">
        <v>407</v>
      </c>
    </row>
    <row r="156" spans="1:59" x14ac:dyDescent="0.3">
      <c r="A156">
        <v>480290</v>
      </c>
      <c r="B156">
        <v>18258179</v>
      </c>
      <c r="C156">
        <v>2021</v>
      </c>
      <c r="D156" s="62">
        <v>44308</v>
      </c>
      <c r="E156">
        <v>23</v>
      </c>
      <c r="F156" t="s">
        <v>425</v>
      </c>
      <c r="G156" t="s">
        <v>319</v>
      </c>
      <c r="H156" t="s">
        <v>453</v>
      </c>
      <c r="I156" t="s">
        <v>427</v>
      </c>
      <c r="J156">
        <v>29.68515481</v>
      </c>
      <c r="K156">
        <v>-95.296383109999994</v>
      </c>
      <c r="L156" t="s">
        <v>430</v>
      </c>
      <c r="M156" t="s">
        <v>431</v>
      </c>
      <c r="N156" t="s">
        <v>499</v>
      </c>
      <c r="O156" t="s">
        <v>498</v>
      </c>
      <c r="P156" t="s">
        <v>410</v>
      </c>
      <c r="Q156" t="s">
        <v>331</v>
      </c>
      <c r="R156" t="s">
        <v>406</v>
      </c>
      <c r="S156">
        <v>0</v>
      </c>
      <c r="T156">
        <v>0</v>
      </c>
      <c r="U156">
        <v>1</v>
      </c>
      <c r="V156">
        <v>0</v>
      </c>
      <c r="W156">
        <v>1</v>
      </c>
      <c r="X156">
        <v>1</v>
      </c>
      <c r="Y156">
        <v>0</v>
      </c>
      <c r="Z156">
        <v>0</v>
      </c>
      <c r="AA156">
        <v>0</v>
      </c>
      <c r="AB156">
        <v>0</v>
      </c>
      <c r="AC156">
        <v>0</v>
      </c>
      <c r="AD156">
        <v>1</v>
      </c>
      <c r="AE156">
        <v>0</v>
      </c>
      <c r="AF156">
        <v>0</v>
      </c>
      <c r="AG156">
        <v>0</v>
      </c>
      <c r="AH156">
        <v>0</v>
      </c>
      <c r="AI156">
        <v>0</v>
      </c>
      <c r="AJ156">
        <v>0</v>
      </c>
      <c r="AK156">
        <v>0</v>
      </c>
      <c r="AL156">
        <v>0</v>
      </c>
      <c r="AM156">
        <v>0</v>
      </c>
      <c r="AN156">
        <v>0</v>
      </c>
      <c r="AO156">
        <v>0</v>
      </c>
      <c r="AP156">
        <v>1</v>
      </c>
      <c r="AQ156">
        <v>0</v>
      </c>
      <c r="AR156">
        <v>0</v>
      </c>
      <c r="AS156">
        <v>1</v>
      </c>
      <c r="AT156">
        <v>0</v>
      </c>
      <c r="AU156" t="s">
        <v>242</v>
      </c>
      <c r="AV156" t="s">
        <v>457</v>
      </c>
      <c r="AW156" t="s">
        <v>328</v>
      </c>
      <c r="AX156" t="s">
        <v>458</v>
      </c>
      <c r="AY156">
        <v>77087</v>
      </c>
      <c r="AZ156">
        <v>48201332700</v>
      </c>
      <c r="BA156" t="s">
        <v>329</v>
      </c>
      <c r="BB156" t="s">
        <v>330</v>
      </c>
      <c r="BC156">
        <v>53817</v>
      </c>
      <c r="BD156">
        <v>2840</v>
      </c>
      <c r="BE156" t="s">
        <v>407</v>
      </c>
      <c r="BF156" t="s">
        <v>407</v>
      </c>
      <c r="BG156" t="s">
        <v>407</v>
      </c>
    </row>
    <row r="157" spans="1:59" x14ac:dyDescent="0.3">
      <c r="A157">
        <v>483069</v>
      </c>
      <c r="B157">
        <v>18269028</v>
      </c>
      <c r="C157">
        <v>2021</v>
      </c>
      <c r="D157" s="62">
        <v>44335</v>
      </c>
      <c r="E157">
        <v>10</v>
      </c>
      <c r="F157" t="s">
        <v>405</v>
      </c>
      <c r="G157" t="s">
        <v>319</v>
      </c>
      <c r="H157" t="s">
        <v>467</v>
      </c>
      <c r="I157" t="s">
        <v>419</v>
      </c>
      <c r="J157">
        <v>29.691314810000002</v>
      </c>
      <c r="K157">
        <v>-95.298783110000002</v>
      </c>
      <c r="L157" t="s">
        <v>430</v>
      </c>
      <c r="M157" t="s">
        <v>322</v>
      </c>
      <c r="N157" t="s">
        <v>500</v>
      </c>
      <c r="O157" t="s">
        <v>324</v>
      </c>
      <c r="P157" t="s">
        <v>428</v>
      </c>
      <c r="Q157" t="s">
        <v>331</v>
      </c>
      <c r="R157" t="s">
        <v>433</v>
      </c>
      <c r="S157">
        <v>0</v>
      </c>
      <c r="T157">
        <v>0</v>
      </c>
      <c r="U157">
        <v>0</v>
      </c>
      <c r="V157">
        <v>0</v>
      </c>
      <c r="W157">
        <v>0</v>
      </c>
      <c r="X157">
        <v>0</v>
      </c>
      <c r="Y157">
        <v>2</v>
      </c>
      <c r="Z157">
        <v>0</v>
      </c>
      <c r="AA157">
        <v>0</v>
      </c>
      <c r="AB157">
        <v>0</v>
      </c>
      <c r="AC157">
        <v>0</v>
      </c>
      <c r="AD157">
        <v>0</v>
      </c>
      <c r="AE157">
        <v>0</v>
      </c>
      <c r="AF157">
        <v>2</v>
      </c>
      <c r="AG157">
        <v>0</v>
      </c>
      <c r="AH157">
        <v>0</v>
      </c>
      <c r="AI157">
        <v>0</v>
      </c>
      <c r="AJ157">
        <v>0</v>
      </c>
      <c r="AK157">
        <v>0</v>
      </c>
      <c r="AL157">
        <v>0</v>
      </c>
      <c r="AM157">
        <v>0</v>
      </c>
      <c r="AN157">
        <v>0</v>
      </c>
      <c r="AO157">
        <v>0</v>
      </c>
      <c r="AP157">
        <v>0</v>
      </c>
      <c r="AQ157">
        <v>0</v>
      </c>
      <c r="AR157">
        <v>0</v>
      </c>
      <c r="AS157">
        <v>0</v>
      </c>
      <c r="AT157">
        <v>0</v>
      </c>
      <c r="AU157" t="s">
        <v>242</v>
      </c>
      <c r="AV157" t="s">
        <v>457</v>
      </c>
      <c r="AW157" t="s">
        <v>328</v>
      </c>
      <c r="AX157" t="s">
        <v>458</v>
      </c>
      <c r="AY157">
        <v>77087</v>
      </c>
      <c r="AZ157">
        <v>48201332900</v>
      </c>
      <c r="BA157" t="s">
        <v>329</v>
      </c>
      <c r="BB157" t="s">
        <v>330</v>
      </c>
      <c r="BC157">
        <v>54037</v>
      </c>
      <c r="BD157">
        <v>2892</v>
      </c>
      <c r="BE157" t="s">
        <v>407</v>
      </c>
      <c r="BF157" t="s">
        <v>407</v>
      </c>
      <c r="BG157" t="s">
        <v>407</v>
      </c>
    </row>
    <row r="158" spans="1:59" x14ac:dyDescent="0.3">
      <c r="A158">
        <v>485067</v>
      </c>
      <c r="B158">
        <v>18277085</v>
      </c>
      <c r="C158">
        <v>2021</v>
      </c>
      <c r="D158" s="62">
        <v>44341</v>
      </c>
      <c r="E158">
        <v>17</v>
      </c>
      <c r="F158" t="s">
        <v>318</v>
      </c>
      <c r="G158" t="s">
        <v>319</v>
      </c>
      <c r="H158" t="s">
        <v>453</v>
      </c>
      <c r="I158" t="s">
        <v>419</v>
      </c>
      <c r="J158">
        <v>29.691314810000002</v>
      </c>
      <c r="K158">
        <v>-95.298783110000002</v>
      </c>
      <c r="L158" t="s">
        <v>420</v>
      </c>
      <c r="M158" t="s">
        <v>322</v>
      </c>
      <c r="N158" t="s">
        <v>429</v>
      </c>
      <c r="O158" t="s">
        <v>324</v>
      </c>
      <c r="P158" t="s">
        <v>410</v>
      </c>
      <c r="Q158" t="s">
        <v>331</v>
      </c>
      <c r="R158" t="s">
        <v>433</v>
      </c>
      <c r="S158">
        <v>0</v>
      </c>
      <c r="T158">
        <v>0</v>
      </c>
      <c r="U158">
        <v>1</v>
      </c>
      <c r="V158">
        <v>1</v>
      </c>
      <c r="W158">
        <v>2</v>
      </c>
      <c r="X158">
        <v>0</v>
      </c>
      <c r="Y158">
        <v>0</v>
      </c>
      <c r="Z158">
        <v>0</v>
      </c>
      <c r="AA158">
        <v>0</v>
      </c>
      <c r="AB158">
        <v>1</v>
      </c>
      <c r="AC158">
        <v>1</v>
      </c>
      <c r="AD158">
        <v>0</v>
      </c>
      <c r="AE158">
        <v>2</v>
      </c>
      <c r="AF158">
        <v>0</v>
      </c>
      <c r="AG158">
        <v>0</v>
      </c>
      <c r="AH158">
        <v>0</v>
      </c>
      <c r="AI158">
        <v>0</v>
      </c>
      <c r="AJ158">
        <v>0</v>
      </c>
      <c r="AK158">
        <v>0</v>
      </c>
      <c r="AL158">
        <v>0</v>
      </c>
      <c r="AM158">
        <v>0</v>
      </c>
      <c r="AN158">
        <v>0</v>
      </c>
      <c r="AO158">
        <v>0</v>
      </c>
      <c r="AP158">
        <v>0</v>
      </c>
      <c r="AQ158">
        <v>0</v>
      </c>
      <c r="AR158">
        <v>0</v>
      </c>
      <c r="AS158">
        <v>0</v>
      </c>
      <c r="AT158">
        <v>0</v>
      </c>
      <c r="AU158" t="s">
        <v>242</v>
      </c>
      <c r="AV158" t="s">
        <v>457</v>
      </c>
      <c r="AW158" t="s">
        <v>328</v>
      </c>
      <c r="AX158" t="s">
        <v>458</v>
      </c>
      <c r="AY158">
        <v>77087</v>
      </c>
      <c r="AZ158">
        <v>48201332900</v>
      </c>
      <c r="BA158" t="s">
        <v>329</v>
      </c>
      <c r="BB158" t="s">
        <v>330</v>
      </c>
      <c r="BC158">
        <v>54037</v>
      </c>
      <c r="BD158">
        <v>2892</v>
      </c>
      <c r="BE158" t="s">
        <v>407</v>
      </c>
      <c r="BF158" t="s">
        <v>407</v>
      </c>
      <c r="BG158" t="s">
        <v>407</v>
      </c>
    </row>
    <row r="159" spans="1:59" x14ac:dyDescent="0.3">
      <c r="A159">
        <v>489838</v>
      </c>
      <c r="B159">
        <v>18295631</v>
      </c>
      <c r="C159">
        <v>2021</v>
      </c>
      <c r="D159" s="62">
        <v>44350</v>
      </c>
      <c r="E159">
        <v>9</v>
      </c>
      <c r="F159" t="s">
        <v>425</v>
      </c>
      <c r="G159" t="s">
        <v>319</v>
      </c>
      <c r="H159" t="s">
        <v>496</v>
      </c>
      <c r="I159" t="s">
        <v>427</v>
      </c>
      <c r="J159">
        <v>29.693527939999999</v>
      </c>
      <c r="K159">
        <v>-95.299335400000004</v>
      </c>
      <c r="L159" t="s">
        <v>420</v>
      </c>
      <c r="M159" t="s">
        <v>322</v>
      </c>
      <c r="N159" t="s">
        <v>429</v>
      </c>
      <c r="O159" t="s">
        <v>324</v>
      </c>
      <c r="P159" t="s">
        <v>414</v>
      </c>
      <c r="Q159" t="s">
        <v>278</v>
      </c>
      <c r="R159" t="s">
        <v>406</v>
      </c>
      <c r="S159">
        <v>0</v>
      </c>
      <c r="T159">
        <v>0</v>
      </c>
      <c r="U159">
        <v>0</v>
      </c>
      <c r="V159">
        <v>0</v>
      </c>
      <c r="W159">
        <v>0</v>
      </c>
      <c r="X159">
        <v>1</v>
      </c>
      <c r="Y159">
        <v>1</v>
      </c>
      <c r="Z159">
        <v>0</v>
      </c>
      <c r="AA159">
        <v>0</v>
      </c>
      <c r="AB159">
        <v>0</v>
      </c>
      <c r="AC159">
        <v>0</v>
      </c>
      <c r="AD159">
        <v>1</v>
      </c>
      <c r="AE159">
        <v>0</v>
      </c>
      <c r="AF159">
        <v>1</v>
      </c>
      <c r="AG159">
        <v>0</v>
      </c>
      <c r="AH159">
        <v>0</v>
      </c>
      <c r="AI159">
        <v>0</v>
      </c>
      <c r="AJ159">
        <v>0</v>
      </c>
      <c r="AK159">
        <v>0</v>
      </c>
      <c r="AL159">
        <v>0</v>
      </c>
      <c r="AM159">
        <v>0</v>
      </c>
      <c r="AN159">
        <v>0</v>
      </c>
      <c r="AO159">
        <v>0</v>
      </c>
      <c r="AP159">
        <v>0</v>
      </c>
      <c r="AQ159">
        <v>0</v>
      </c>
      <c r="AR159">
        <v>0</v>
      </c>
      <c r="AS159">
        <v>0</v>
      </c>
      <c r="AT159">
        <v>0</v>
      </c>
      <c r="AU159" t="s">
        <v>242</v>
      </c>
      <c r="AV159" t="s">
        <v>457</v>
      </c>
      <c r="AW159" t="s">
        <v>328</v>
      </c>
      <c r="AX159" t="s">
        <v>458</v>
      </c>
      <c r="AY159">
        <v>77087</v>
      </c>
      <c r="AZ159">
        <v>48201332900</v>
      </c>
      <c r="BA159" t="s">
        <v>329</v>
      </c>
      <c r="BB159" t="s">
        <v>330</v>
      </c>
      <c r="BC159">
        <v>54257</v>
      </c>
      <c r="BD159">
        <v>2892</v>
      </c>
      <c r="BE159" t="s">
        <v>407</v>
      </c>
      <c r="BF159" t="s">
        <v>407</v>
      </c>
      <c r="BG159" t="s">
        <v>407</v>
      </c>
    </row>
    <row r="160" spans="1:59" x14ac:dyDescent="0.3">
      <c r="A160">
        <v>491014</v>
      </c>
      <c r="B160">
        <v>18300996</v>
      </c>
      <c r="C160">
        <v>2021</v>
      </c>
      <c r="D160" s="62">
        <v>44352</v>
      </c>
      <c r="E160">
        <v>16</v>
      </c>
      <c r="F160" t="s">
        <v>436</v>
      </c>
      <c r="G160" t="s">
        <v>319</v>
      </c>
      <c r="H160" t="s">
        <v>501</v>
      </c>
      <c r="I160" t="s">
        <v>411</v>
      </c>
      <c r="J160">
        <v>29.68766866</v>
      </c>
      <c r="K160">
        <v>-95.297905880000002</v>
      </c>
      <c r="L160" t="s">
        <v>321</v>
      </c>
      <c r="M160" t="s">
        <v>322</v>
      </c>
      <c r="N160" t="s">
        <v>323</v>
      </c>
      <c r="O160" t="s">
        <v>324</v>
      </c>
      <c r="P160" t="s">
        <v>283</v>
      </c>
      <c r="Q160" t="s">
        <v>325</v>
      </c>
      <c r="R160" t="s">
        <v>412</v>
      </c>
      <c r="S160">
        <v>0</v>
      </c>
      <c r="T160">
        <v>0</v>
      </c>
      <c r="U160">
        <v>0</v>
      </c>
      <c r="V160">
        <v>1</v>
      </c>
      <c r="W160">
        <v>1</v>
      </c>
      <c r="X160">
        <v>2</v>
      </c>
      <c r="Y160">
        <v>0</v>
      </c>
      <c r="Z160">
        <v>0</v>
      </c>
      <c r="AA160">
        <v>0</v>
      </c>
      <c r="AB160">
        <v>0</v>
      </c>
      <c r="AC160">
        <v>1</v>
      </c>
      <c r="AD160">
        <v>2</v>
      </c>
      <c r="AE160">
        <v>1</v>
      </c>
      <c r="AF160">
        <v>0</v>
      </c>
      <c r="AG160">
        <v>0</v>
      </c>
      <c r="AH160">
        <v>0</v>
      </c>
      <c r="AI160">
        <v>0</v>
      </c>
      <c r="AJ160">
        <v>0</v>
      </c>
      <c r="AK160">
        <v>0</v>
      </c>
      <c r="AL160">
        <v>0</v>
      </c>
      <c r="AM160">
        <v>0</v>
      </c>
      <c r="AN160">
        <v>0</v>
      </c>
      <c r="AO160">
        <v>0</v>
      </c>
      <c r="AP160">
        <v>0</v>
      </c>
      <c r="AQ160">
        <v>0</v>
      </c>
      <c r="AR160">
        <v>0</v>
      </c>
      <c r="AS160">
        <v>0</v>
      </c>
      <c r="AT160">
        <v>0</v>
      </c>
      <c r="AU160" t="s">
        <v>242</v>
      </c>
      <c r="AV160" t="s">
        <v>457</v>
      </c>
      <c r="AW160" t="s">
        <v>328</v>
      </c>
      <c r="AX160" t="s">
        <v>458</v>
      </c>
      <c r="AY160">
        <v>77087</v>
      </c>
      <c r="AZ160">
        <v>48201332900</v>
      </c>
      <c r="BA160" t="s">
        <v>329</v>
      </c>
      <c r="BB160" t="s">
        <v>330</v>
      </c>
      <c r="BC160">
        <v>54037</v>
      </c>
      <c r="BD160">
        <v>2892</v>
      </c>
      <c r="BE160" t="s">
        <v>407</v>
      </c>
      <c r="BF160" t="s">
        <v>407</v>
      </c>
      <c r="BG160" t="s">
        <v>407</v>
      </c>
    </row>
    <row r="161" spans="1:59" x14ac:dyDescent="0.3">
      <c r="A161">
        <v>493832</v>
      </c>
      <c r="B161">
        <v>18312247</v>
      </c>
      <c r="C161">
        <v>2021</v>
      </c>
      <c r="D161" s="62">
        <v>44361</v>
      </c>
      <c r="E161">
        <v>6</v>
      </c>
      <c r="F161" t="s">
        <v>417</v>
      </c>
      <c r="G161" t="s">
        <v>319</v>
      </c>
      <c r="H161" t="s">
        <v>453</v>
      </c>
      <c r="I161" t="s">
        <v>427</v>
      </c>
      <c r="J161">
        <v>29.691314810000002</v>
      </c>
      <c r="K161">
        <v>-95.298783110000002</v>
      </c>
      <c r="L161" t="s">
        <v>321</v>
      </c>
      <c r="M161" t="s">
        <v>322</v>
      </c>
      <c r="N161" t="s">
        <v>429</v>
      </c>
      <c r="O161" t="s">
        <v>456</v>
      </c>
      <c r="P161" t="s">
        <v>283</v>
      </c>
      <c r="Q161" t="s">
        <v>278</v>
      </c>
      <c r="R161" t="s">
        <v>468</v>
      </c>
      <c r="S161">
        <v>0</v>
      </c>
      <c r="T161">
        <v>0</v>
      </c>
      <c r="U161">
        <v>0</v>
      </c>
      <c r="V161">
        <v>1</v>
      </c>
      <c r="W161">
        <v>1</v>
      </c>
      <c r="X161">
        <v>1</v>
      </c>
      <c r="Y161">
        <v>0</v>
      </c>
      <c r="Z161">
        <v>0</v>
      </c>
      <c r="AA161">
        <v>0</v>
      </c>
      <c r="AB161">
        <v>0</v>
      </c>
      <c r="AC161">
        <v>0</v>
      </c>
      <c r="AD161">
        <v>1</v>
      </c>
      <c r="AE161">
        <v>0</v>
      </c>
      <c r="AF161">
        <v>0</v>
      </c>
      <c r="AG161">
        <v>0</v>
      </c>
      <c r="AH161">
        <v>0</v>
      </c>
      <c r="AI161">
        <v>0</v>
      </c>
      <c r="AJ161">
        <v>1</v>
      </c>
      <c r="AK161">
        <v>0</v>
      </c>
      <c r="AL161">
        <v>1</v>
      </c>
      <c r="AM161">
        <v>0</v>
      </c>
      <c r="AN161">
        <v>0</v>
      </c>
      <c r="AO161">
        <v>0</v>
      </c>
      <c r="AP161">
        <v>0</v>
      </c>
      <c r="AQ161">
        <v>0</v>
      </c>
      <c r="AR161">
        <v>0</v>
      </c>
      <c r="AS161">
        <v>0</v>
      </c>
      <c r="AT161">
        <v>0</v>
      </c>
      <c r="AU161" t="s">
        <v>242</v>
      </c>
      <c r="AV161" t="s">
        <v>457</v>
      </c>
      <c r="AW161" t="s">
        <v>328</v>
      </c>
      <c r="AX161" t="s">
        <v>458</v>
      </c>
      <c r="AY161">
        <v>77087</v>
      </c>
      <c r="AZ161">
        <v>48201332900</v>
      </c>
      <c r="BA161" t="s">
        <v>329</v>
      </c>
      <c r="BB161" t="s">
        <v>330</v>
      </c>
      <c r="BC161">
        <v>54037</v>
      </c>
      <c r="BD161">
        <v>2892</v>
      </c>
      <c r="BE161" t="s">
        <v>407</v>
      </c>
      <c r="BF161" t="s">
        <v>407</v>
      </c>
      <c r="BG161" t="s">
        <v>407</v>
      </c>
    </row>
    <row r="162" spans="1:59" x14ac:dyDescent="0.3">
      <c r="A162">
        <v>496608</v>
      </c>
      <c r="B162">
        <v>18323152</v>
      </c>
      <c r="C162">
        <v>2021</v>
      </c>
      <c r="D162" s="62">
        <v>44368</v>
      </c>
      <c r="E162">
        <v>12</v>
      </c>
      <c r="F162" t="s">
        <v>417</v>
      </c>
      <c r="G162" t="s">
        <v>319</v>
      </c>
      <c r="H162" t="s">
        <v>453</v>
      </c>
      <c r="I162" t="s">
        <v>423</v>
      </c>
      <c r="J162">
        <v>29.691314810000002</v>
      </c>
      <c r="K162">
        <v>-95.298783110000002</v>
      </c>
      <c r="L162" t="s">
        <v>420</v>
      </c>
      <c r="M162" t="s">
        <v>322</v>
      </c>
      <c r="N162" t="s">
        <v>429</v>
      </c>
      <c r="O162" t="s">
        <v>324</v>
      </c>
      <c r="P162" t="s">
        <v>410</v>
      </c>
      <c r="Q162" t="s">
        <v>278</v>
      </c>
      <c r="R162" t="s">
        <v>406</v>
      </c>
      <c r="S162">
        <v>0</v>
      </c>
      <c r="T162">
        <v>0</v>
      </c>
      <c r="U162">
        <v>2</v>
      </c>
      <c r="V162">
        <v>0</v>
      </c>
      <c r="W162">
        <v>2</v>
      </c>
      <c r="X162">
        <v>1</v>
      </c>
      <c r="Y162">
        <v>0</v>
      </c>
      <c r="Z162">
        <v>0</v>
      </c>
      <c r="AA162">
        <v>0</v>
      </c>
      <c r="AB162">
        <v>2</v>
      </c>
      <c r="AC162">
        <v>0</v>
      </c>
      <c r="AD162">
        <v>1</v>
      </c>
      <c r="AE162">
        <v>2</v>
      </c>
      <c r="AF162">
        <v>0</v>
      </c>
      <c r="AG162">
        <v>0</v>
      </c>
      <c r="AH162">
        <v>0</v>
      </c>
      <c r="AI162">
        <v>0</v>
      </c>
      <c r="AJ162">
        <v>0</v>
      </c>
      <c r="AK162">
        <v>0</v>
      </c>
      <c r="AL162">
        <v>0</v>
      </c>
      <c r="AM162">
        <v>0</v>
      </c>
      <c r="AN162">
        <v>0</v>
      </c>
      <c r="AO162">
        <v>0</v>
      </c>
      <c r="AP162">
        <v>0</v>
      </c>
      <c r="AQ162">
        <v>0</v>
      </c>
      <c r="AR162">
        <v>0</v>
      </c>
      <c r="AS162">
        <v>0</v>
      </c>
      <c r="AT162">
        <v>0</v>
      </c>
      <c r="AU162" t="s">
        <v>242</v>
      </c>
      <c r="AV162" t="s">
        <v>457</v>
      </c>
      <c r="AW162" t="s">
        <v>328</v>
      </c>
      <c r="AX162" t="s">
        <v>458</v>
      </c>
      <c r="AY162">
        <v>77087</v>
      </c>
      <c r="AZ162">
        <v>48201332900</v>
      </c>
      <c r="BA162" t="s">
        <v>329</v>
      </c>
      <c r="BB162" t="s">
        <v>330</v>
      </c>
      <c r="BC162">
        <v>54037</v>
      </c>
      <c r="BD162">
        <v>2892</v>
      </c>
      <c r="BE162" t="s">
        <v>407</v>
      </c>
      <c r="BF162" t="s">
        <v>407</v>
      </c>
      <c r="BG162" t="s">
        <v>407</v>
      </c>
    </row>
    <row r="163" spans="1:59" x14ac:dyDescent="0.3">
      <c r="A163">
        <v>498028</v>
      </c>
      <c r="B163">
        <v>18328897</v>
      </c>
      <c r="C163">
        <v>2021</v>
      </c>
      <c r="D163" s="62">
        <v>44357</v>
      </c>
      <c r="E163">
        <v>17</v>
      </c>
      <c r="F163" t="s">
        <v>425</v>
      </c>
      <c r="G163" t="s">
        <v>319</v>
      </c>
      <c r="H163" t="s">
        <v>453</v>
      </c>
      <c r="I163" t="s">
        <v>320</v>
      </c>
      <c r="J163">
        <v>29.690484810000001</v>
      </c>
      <c r="K163">
        <v>-95.298763109999996</v>
      </c>
      <c r="L163" t="s">
        <v>321</v>
      </c>
      <c r="M163" t="s">
        <v>431</v>
      </c>
      <c r="N163" t="s">
        <v>323</v>
      </c>
      <c r="O163" t="s">
        <v>324</v>
      </c>
      <c r="P163" t="s">
        <v>414</v>
      </c>
      <c r="Q163" t="s">
        <v>331</v>
      </c>
      <c r="R163" t="s">
        <v>412</v>
      </c>
      <c r="S163">
        <v>0</v>
      </c>
      <c r="T163">
        <v>0</v>
      </c>
      <c r="U163">
        <v>0</v>
      </c>
      <c r="V163">
        <v>0</v>
      </c>
      <c r="W163">
        <v>0</v>
      </c>
      <c r="X163">
        <v>3</v>
      </c>
      <c r="Y163">
        <v>0</v>
      </c>
      <c r="Z163">
        <v>0</v>
      </c>
      <c r="AA163">
        <v>0</v>
      </c>
      <c r="AB163">
        <v>0</v>
      </c>
      <c r="AC163">
        <v>0</v>
      </c>
      <c r="AD163">
        <v>3</v>
      </c>
      <c r="AE163">
        <v>0</v>
      </c>
      <c r="AF163">
        <v>0</v>
      </c>
      <c r="AG163">
        <v>0</v>
      </c>
      <c r="AH163">
        <v>0</v>
      </c>
      <c r="AI163">
        <v>0</v>
      </c>
      <c r="AJ163">
        <v>0</v>
      </c>
      <c r="AK163">
        <v>0</v>
      </c>
      <c r="AL163">
        <v>0</v>
      </c>
      <c r="AM163">
        <v>0</v>
      </c>
      <c r="AN163">
        <v>0</v>
      </c>
      <c r="AO163">
        <v>0</v>
      </c>
      <c r="AP163">
        <v>0</v>
      </c>
      <c r="AQ163">
        <v>0</v>
      </c>
      <c r="AR163">
        <v>0</v>
      </c>
      <c r="AS163">
        <v>0</v>
      </c>
      <c r="AT163">
        <v>0</v>
      </c>
      <c r="AU163" t="s">
        <v>242</v>
      </c>
      <c r="AV163" t="s">
        <v>457</v>
      </c>
      <c r="AW163" t="s">
        <v>328</v>
      </c>
      <c r="AX163" t="s">
        <v>458</v>
      </c>
      <c r="AY163">
        <v>77087</v>
      </c>
      <c r="AZ163">
        <v>48201332900</v>
      </c>
      <c r="BA163" t="s">
        <v>329</v>
      </c>
      <c r="BB163" t="s">
        <v>330</v>
      </c>
      <c r="BC163">
        <v>54037</v>
      </c>
      <c r="BD163">
        <v>2892</v>
      </c>
      <c r="BE163" t="s">
        <v>407</v>
      </c>
      <c r="BF163" t="s">
        <v>407</v>
      </c>
      <c r="BG163" t="s">
        <v>407</v>
      </c>
    </row>
    <row r="164" spans="1:59" x14ac:dyDescent="0.3">
      <c r="A164">
        <v>504241</v>
      </c>
      <c r="B164">
        <v>18355015</v>
      </c>
      <c r="C164">
        <v>2021</v>
      </c>
      <c r="D164" s="62">
        <v>44382</v>
      </c>
      <c r="E164">
        <v>8</v>
      </c>
      <c r="F164" t="s">
        <v>417</v>
      </c>
      <c r="G164" t="s">
        <v>319</v>
      </c>
      <c r="H164" t="s">
        <v>453</v>
      </c>
      <c r="I164" t="s">
        <v>411</v>
      </c>
      <c r="J164">
        <v>29.68601189</v>
      </c>
      <c r="K164">
        <v>-95.296879360000005</v>
      </c>
      <c r="L164" t="s">
        <v>321</v>
      </c>
      <c r="M164" t="s">
        <v>322</v>
      </c>
      <c r="N164" t="s">
        <v>422</v>
      </c>
      <c r="O164" t="s">
        <v>324</v>
      </c>
      <c r="P164" t="s">
        <v>414</v>
      </c>
      <c r="Q164" t="s">
        <v>332</v>
      </c>
      <c r="R164" t="s">
        <v>406</v>
      </c>
      <c r="S164">
        <v>0</v>
      </c>
      <c r="T164">
        <v>0</v>
      </c>
      <c r="U164">
        <v>0</v>
      </c>
      <c r="V164">
        <v>0</v>
      </c>
      <c r="W164">
        <v>0</v>
      </c>
      <c r="X164">
        <v>7</v>
      </c>
      <c r="Y164">
        <v>0</v>
      </c>
      <c r="Z164">
        <v>0</v>
      </c>
      <c r="AA164">
        <v>0</v>
      </c>
      <c r="AB164">
        <v>0</v>
      </c>
      <c r="AC164">
        <v>0</v>
      </c>
      <c r="AD164">
        <v>7</v>
      </c>
      <c r="AE164">
        <v>0</v>
      </c>
      <c r="AF164">
        <v>0</v>
      </c>
      <c r="AG164">
        <v>0</v>
      </c>
      <c r="AH164">
        <v>0</v>
      </c>
      <c r="AI164">
        <v>0</v>
      </c>
      <c r="AJ164">
        <v>0</v>
      </c>
      <c r="AK164">
        <v>0</v>
      </c>
      <c r="AL164">
        <v>0</v>
      </c>
      <c r="AM164">
        <v>0</v>
      </c>
      <c r="AN164">
        <v>0</v>
      </c>
      <c r="AO164">
        <v>0</v>
      </c>
      <c r="AP164">
        <v>0</v>
      </c>
      <c r="AQ164">
        <v>0</v>
      </c>
      <c r="AR164">
        <v>0</v>
      </c>
      <c r="AS164">
        <v>0</v>
      </c>
      <c r="AT164">
        <v>0</v>
      </c>
      <c r="AU164" t="s">
        <v>242</v>
      </c>
      <c r="AV164" t="s">
        <v>457</v>
      </c>
      <c r="AW164" t="s">
        <v>328</v>
      </c>
      <c r="AX164" t="s">
        <v>458</v>
      </c>
      <c r="AY164">
        <v>77087</v>
      </c>
      <c r="AZ164">
        <v>48201332800</v>
      </c>
      <c r="BA164" t="s">
        <v>329</v>
      </c>
      <c r="BB164" t="s">
        <v>330</v>
      </c>
      <c r="BC164">
        <v>53817</v>
      </c>
      <c r="BD164">
        <v>2840</v>
      </c>
      <c r="BE164" t="s">
        <v>407</v>
      </c>
      <c r="BF164" t="s">
        <v>502</v>
      </c>
      <c r="BG164" t="s">
        <v>407</v>
      </c>
    </row>
    <row r="165" spans="1:59" x14ac:dyDescent="0.3">
      <c r="A165">
        <v>508007</v>
      </c>
      <c r="B165">
        <v>18369128</v>
      </c>
      <c r="C165">
        <v>2021</v>
      </c>
      <c r="D165" s="62">
        <v>44377</v>
      </c>
      <c r="E165">
        <v>7</v>
      </c>
      <c r="F165" t="s">
        <v>405</v>
      </c>
      <c r="G165" t="s">
        <v>319</v>
      </c>
      <c r="H165" t="s">
        <v>473</v>
      </c>
      <c r="I165" t="s">
        <v>427</v>
      </c>
      <c r="J165">
        <v>29.675339579999999</v>
      </c>
      <c r="K165">
        <v>-95.289248839999999</v>
      </c>
      <c r="L165" t="s">
        <v>321</v>
      </c>
      <c r="M165" t="s">
        <v>322</v>
      </c>
      <c r="N165" t="s">
        <v>422</v>
      </c>
      <c r="O165" t="s">
        <v>324</v>
      </c>
      <c r="P165" t="s">
        <v>414</v>
      </c>
      <c r="Q165" t="s">
        <v>325</v>
      </c>
      <c r="R165" t="s">
        <v>412</v>
      </c>
      <c r="S165">
        <v>0</v>
      </c>
      <c r="T165">
        <v>0</v>
      </c>
      <c r="U165">
        <v>0</v>
      </c>
      <c r="V165">
        <v>0</v>
      </c>
      <c r="W165">
        <v>0</v>
      </c>
      <c r="X165">
        <v>2</v>
      </c>
      <c r="Y165">
        <v>0</v>
      </c>
      <c r="Z165">
        <v>0</v>
      </c>
      <c r="AA165">
        <v>0</v>
      </c>
      <c r="AB165">
        <v>0</v>
      </c>
      <c r="AC165">
        <v>0</v>
      </c>
      <c r="AD165">
        <v>2</v>
      </c>
      <c r="AE165">
        <v>0</v>
      </c>
      <c r="AF165">
        <v>0</v>
      </c>
      <c r="AG165">
        <v>0</v>
      </c>
      <c r="AH165">
        <v>0</v>
      </c>
      <c r="AI165">
        <v>0</v>
      </c>
      <c r="AJ165">
        <v>0</v>
      </c>
      <c r="AK165">
        <v>0</v>
      </c>
      <c r="AL165">
        <v>0</v>
      </c>
      <c r="AM165">
        <v>0</v>
      </c>
      <c r="AN165">
        <v>0</v>
      </c>
      <c r="AO165">
        <v>0</v>
      </c>
      <c r="AP165">
        <v>0</v>
      </c>
      <c r="AQ165">
        <v>0</v>
      </c>
      <c r="AR165">
        <v>0</v>
      </c>
      <c r="AS165">
        <v>0</v>
      </c>
      <c r="AT165">
        <v>0</v>
      </c>
      <c r="AU165" t="s">
        <v>242</v>
      </c>
      <c r="AV165" t="s">
        <v>457</v>
      </c>
      <c r="AW165" t="s">
        <v>328</v>
      </c>
      <c r="AX165" t="s">
        <v>458</v>
      </c>
      <c r="AY165">
        <v>77087</v>
      </c>
      <c r="AZ165">
        <v>48201333000</v>
      </c>
      <c r="BA165" t="s">
        <v>329</v>
      </c>
      <c r="BB165" t="s">
        <v>330</v>
      </c>
      <c r="BC165">
        <v>53378</v>
      </c>
      <c r="BD165">
        <v>2840</v>
      </c>
      <c r="BE165" t="s">
        <v>407</v>
      </c>
      <c r="BF165" t="s">
        <v>407</v>
      </c>
      <c r="BG165" t="s">
        <v>407</v>
      </c>
    </row>
    <row r="166" spans="1:59" x14ac:dyDescent="0.3">
      <c r="A166">
        <v>508041</v>
      </c>
      <c r="B166">
        <v>18369223</v>
      </c>
      <c r="C166">
        <v>2021</v>
      </c>
      <c r="D166" s="62">
        <v>44389</v>
      </c>
      <c r="E166">
        <v>13</v>
      </c>
      <c r="F166" t="s">
        <v>417</v>
      </c>
      <c r="G166" t="s">
        <v>319</v>
      </c>
      <c r="H166" t="s">
        <v>503</v>
      </c>
      <c r="I166" t="s">
        <v>411</v>
      </c>
      <c r="J166">
        <v>29.676704820000001</v>
      </c>
      <c r="K166">
        <v>-95.290663109999997</v>
      </c>
      <c r="L166" t="s">
        <v>420</v>
      </c>
      <c r="M166" t="s">
        <v>322</v>
      </c>
      <c r="N166" t="s">
        <v>448</v>
      </c>
      <c r="O166" t="s">
        <v>324</v>
      </c>
      <c r="P166" t="s">
        <v>410</v>
      </c>
      <c r="Q166" t="s">
        <v>331</v>
      </c>
      <c r="R166" t="s">
        <v>472</v>
      </c>
      <c r="S166">
        <v>0</v>
      </c>
      <c r="T166">
        <v>0</v>
      </c>
      <c r="U166">
        <v>2</v>
      </c>
      <c r="V166">
        <v>0</v>
      </c>
      <c r="W166">
        <v>2</v>
      </c>
      <c r="X166">
        <v>0</v>
      </c>
      <c r="Y166">
        <v>0</v>
      </c>
      <c r="Z166">
        <v>0</v>
      </c>
      <c r="AA166">
        <v>0</v>
      </c>
      <c r="AB166">
        <v>2</v>
      </c>
      <c r="AC166">
        <v>0</v>
      </c>
      <c r="AD166">
        <v>0</v>
      </c>
      <c r="AE166">
        <v>2</v>
      </c>
      <c r="AF166">
        <v>0</v>
      </c>
      <c r="AG166">
        <v>0</v>
      </c>
      <c r="AH166">
        <v>0</v>
      </c>
      <c r="AI166">
        <v>0</v>
      </c>
      <c r="AJ166">
        <v>0</v>
      </c>
      <c r="AK166">
        <v>0</v>
      </c>
      <c r="AL166">
        <v>0</v>
      </c>
      <c r="AM166">
        <v>0</v>
      </c>
      <c r="AN166">
        <v>0</v>
      </c>
      <c r="AO166">
        <v>0</v>
      </c>
      <c r="AP166">
        <v>0</v>
      </c>
      <c r="AQ166">
        <v>0</v>
      </c>
      <c r="AR166">
        <v>0</v>
      </c>
      <c r="AS166">
        <v>0</v>
      </c>
      <c r="AT166">
        <v>0</v>
      </c>
      <c r="AU166" t="s">
        <v>242</v>
      </c>
      <c r="AV166" t="s">
        <v>327</v>
      </c>
      <c r="AW166" t="s">
        <v>328</v>
      </c>
      <c r="AX166" t="s">
        <v>458</v>
      </c>
      <c r="AY166">
        <v>77087</v>
      </c>
      <c r="AZ166">
        <v>48201332600</v>
      </c>
      <c r="BA166" t="s">
        <v>329</v>
      </c>
      <c r="BB166" t="s">
        <v>330</v>
      </c>
      <c r="BC166">
        <v>158757</v>
      </c>
      <c r="BD166">
        <v>2840</v>
      </c>
      <c r="BE166" t="s">
        <v>407</v>
      </c>
      <c r="BF166" t="s">
        <v>407</v>
      </c>
      <c r="BG166" t="s">
        <v>407</v>
      </c>
    </row>
    <row r="167" spans="1:59" x14ac:dyDescent="0.3">
      <c r="A167">
        <v>509850</v>
      </c>
      <c r="B167">
        <v>18375612</v>
      </c>
      <c r="C167">
        <v>2021</v>
      </c>
      <c r="D167" s="62">
        <v>44389</v>
      </c>
      <c r="E167">
        <v>17</v>
      </c>
      <c r="F167" t="s">
        <v>417</v>
      </c>
      <c r="G167" t="s">
        <v>319</v>
      </c>
      <c r="H167" t="s">
        <v>473</v>
      </c>
      <c r="I167" t="s">
        <v>427</v>
      </c>
      <c r="J167">
        <v>29.67505362</v>
      </c>
      <c r="K167">
        <v>-95.289241090000004</v>
      </c>
      <c r="L167" t="s">
        <v>321</v>
      </c>
      <c r="M167" t="s">
        <v>322</v>
      </c>
      <c r="N167" t="s">
        <v>429</v>
      </c>
      <c r="O167" t="s">
        <v>324</v>
      </c>
      <c r="P167" t="s">
        <v>414</v>
      </c>
      <c r="Q167" t="s">
        <v>278</v>
      </c>
      <c r="R167" t="s">
        <v>406</v>
      </c>
      <c r="S167">
        <v>0</v>
      </c>
      <c r="T167">
        <v>0</v>
      </c>
      <c r="U167">
        <v>0</v>
      </c>
      <c r="V167">
        <v>0</v>
      </c>
      <c r="W167">
        <v>0</v>
      </c>
      <c r="X167">
        <v>1</v>
      </c>
      <c r="Y167">
        <v>1</v>
      </c>
      <c r="Z167">
        <v>0</v>
      </c>
      <c r="AA167">
        <v>0</v>
      </c>
      <c r="AB167">
        <v>0</v>
      </c>
      <c r="AC167">
        <v>0</v>
      </c>
      <c r="AD167">
        <v>1</v>
      </c>
      <c r="AE167">
        <v>0</v>
      </c>
      <c r="AF167">
        <v>1</v>
      </c>
      <c r="AG167">
        <v>0</v>
      </c>
      <c r="AH167">
        <v>0</v>
      </c>
      <c r="AI167">
        <v>0</v>
      </c>
      <c r="AJ167">
        <v>0</v>
      </c>
      <c r="AK167">
        <v>0</v>
      </c>
      <c r="AL167">
        <v>0</v>
      </c>
      <c r="AM167">
        <v>0</v>
      </c>
      <c r="AN167">
        <v>0</v>
      </c>
      <c r="AO167">
        <v>0</v>
      </c>
      <c r="AP167">
        <v>0</v>
      </c>
      <c r="AQ167">
        <v>0</v>
      </c>
      <c r="AR167">
        <v>0</v>
      </c>
      <c r="AS167">
        <v>0</v>
      </c>
      <c r="AT167">
        <v>0</v>
      </c>
      <c r="AU167" t="s">
        <v>242</v>
      </c>
      <c r="AV167" t="s">
        <v>457</v>
      </c>
      <c r="AW167" t="s">
        <v>328</v>
      </c>
      <c r="AX167" t="s">
        <v>458</v>
      </c>
      <c r="AY167">
        <v>77087</v>
      </c>
      <c r="AZ167">
        <v>48201333000</v>
      </c>
      <c r="BA167" t="s">
        <v>329</v>
      </c>
      <c r="BB167" t="s">
        <v>330</v>
      </c>
      <c r="BC167">
        <v>53378</v>
      </c>
      <c r="BD167">
        <v>2840</v>
      </c>
      <c r="BE167" t="s">
        <v>407</v>
      </c>
      <c r="BF167" t="s">
        <v>407</v>
      </c>
      <c r="BG167" t="s">
        <v>407</v>
      </c>
    </row>
    <row r="168" spans="1:59" x14ac:dyDescent="0.3">
      <c r="A168">
        <v>510107</v>
      </c>
      <c r="B168">
        <v>18376862</v>
      </c>
      <c r="C168">
        <v>2021</v>
      </c>
      <c r="D168" s="62">
        <v>44396</v>
      </c>
      <c r="E168">
        <v>18</v>
      </c>
      <c r="F168" t="s">
        <v>417</v>
      </c>
      <c r="G168" t="s">
        <v>319</v>
      </c>
      <c r="H168" t="s">
        <v>466</v>
      </c>
      <c r="I168" t="s">
        <v>419</v>
      </c>
      <c r="J168">
        <v>29.692255299999999</v>
      </c>
      <c r="K168">
        <v>-95.298823510000005</v>
      </c>
      <c r="L168" t="s">
        <v>321</v>
      </c>
      <c r="M168" t="s">
        <v>322</v>
      </c>
      <c r="N168" t="s">
        <v>323</v>
      </c>
      <c r="O168" t="s">
        <v>324</v>
      </c>
      <c r="P168" t="s">
        <v>414</v>
      </c>
      <c r="Q168" t="s">
        <v>325</v>
      </c>
      <c r="R168" t="s">
        <v>426</v>
      </c>
      <c r="S168">
        <v>0</v>
      </c>
      <c r="T168">
        <v>0</v>
      </c>
      <c r="U168">
        <v>0</v>
      </c>
      <c r="V168">
        <v>0</v>
      </c>
      <c r="W168">
        <v>0</v>
      </c>
      <c r="X168">
        <v>2</v>
      </c>
      <c r="Y168">
        <v>0</v>
      </c>
      <c r="Z168">
        <v>0</v>
      </c>
      <c r="AA168">
        <v>0</v>
      </c>
      <c r="AB168">
        <v>0</v>
      </c>
      <c r="AC168">
        <v>0</v>
      </c>
      <c r="AD168">
        <v>2</v>
      </c>
      <c r="AE168">
        <v>0</v>
      </c>
      <c r="AF168">
        <v>0</v>
      </c>
      <c r="AG168">
        <v>0</v>
      </c>
      <c r="AH168">
        <v>0</v>
      </c>
      <c r="AI168">
        <v>0</v>
      </c>
      <c r="AJ168">
        <v>0</v>
      </c>
      <c r="AK168">
        <v>0</v>
      </c>
      <c r="AL168">
        <v>0</v>
      </c>
      <c r="AM168">
        <v>0</v>
      </c>
      <c r="AN168">
        <v>0</v>
      </c>
      <c r="AO168">
        <v>0</v>
      </c>
      <c r="AP168">
        <v>0</v>
      </c>
      <c r="AQ168">
        <v>0</v>
      </c>
      <c r="AR168">
        <v>0</v>
      </c>
      <c r="AS168">
        <v>0</v>
      </c>
      <c r="AT168">
        <v>0</v>
      </c>
      <c r="AU168" t="s">
        <v>242</v>
      </c>
      <c r="AV168" t="s">
        <v>457</v>
      </c>
      <c r="AW168" t="s">
        <v>328</v>
      </c>
      <c r="AX168" t="s">
        <v>458</v>
      </c>
      <c r="AY168">
        <v>77087</v>
      </c>
      <c r="AZ168">
        <v>48201332900</v>
      </c>
      <c r="BA168" t="s">
        <v>329</v>
      </c>
      <c r="BB168" t="s">
        <v>330</v>
      </c>
      <c r="BC168">
        <v>54037</v>
      </c>
      <c r="BD168">
        <v>2892</v>
      </c>
      <c r="BE168" t="s">
        <v>407</v>
      </c>
      <c r="BF168" t="s">
        <v>407</v>
      </c>
      <c r="BG168" t="s">
        <v>407</v>
      </c>
    </row>
    <row r="169" spans="1:59" x14ac:dyDescent="0.3">
      <c r="A169">
        <v>510784</v>
      </c>
      <c r="B169">
        <v>18379535</v>
      </c>
      <c r="C169">
        <v>2021</v>
      </c>
      <c r="D169" s="62">
        <v>44399</v>
      </c>
      <c r="E169">
        <v>7</v>
      </c>
      <c r="F169" t="s">
        <v>425</v>
      </c>
      <c r="G169" t="s">
        <v>319</v>
      </c>
      <c r="H169" t="s">
        <v>453</v>
      </c>
      <c r="I169" t="s">
        <v>419</v>
      </c>
      <c r="J169">
        <v>29.676704820000001</v>
      </c>
      <c r="K169">
        <v>-95.290663109999997</v>
      </c>
      <c r="L169" t="s">
        <v>321</v>
      </c>
      <c r="M169" t="s">
        <v>322</v>
      </c>
      <c r="N169" t="s">
        <v>323</v>
      </c>
      <c r="O169" t="s">
        <v>324</v>
      </c>
      <c r="P169" t="s">
        <v>414</v>
      </c>
      <c r="Q169" t="s">
        <v>331</v>
      </c>
      <c r="R169" t="s">
        <v>326</v>
      </c>
      <c r="S169">
        <v>0</v>
      </c>
      <c r="T169">
        <v>0</v>
      </c>
      <c r="U169">
        <v>0</v>
      </c>
      <c r="V169">
        <v>0</v>
      </c>
      <c r="W169">
        <v>0</v>
      </c>
      <c r="X169">
        <v>2</v>
      </c>
      <c r="Y169">
        <v>0</v>
      </c>
      <c r="Z169">
        <v>0</v>
      </c>
      <c r="AA169">
        <v>0</v>
      </c>
      <c r="AB169">
        <v>0</v>
      </c>
      <c r="AC169">
        <v>0</v>
      </c>
      <c r="AD169">
        <v>2</v>
      </c>
      <c r="AE169">
        <v>0</v>
      </c>
      <c r="AF169">
        <v>0</v>
      </c>
      <c r="AG169">
        <v>0</v>
      </c>
      <c r="AH169">
        <v>0</v>
      </c>
      <c r="AI169">
        <v>0</v>
      </c>
      <c r="AJ169">
        <v>0</v>
      </c>
      <c r="AK169">
        <v>0</v>
      </c>
      <c r="AL169">
        <v>0</v>
      </c>
      <c r="AM169">
        <v>0</v>
      </c>
      <c r="AN169">
        <v>0</v>
      </c>
      <c r="AO169">
        <v>0</v>
      </c>
      <c r="AP169">
        <v>0</v>
      </c>
      <c r="AQ169">
        <v>0</v>
      </c>
      <c r="AR169">
        <v>0</v>
      </c>
      <c r="AS169">
        <v>0</v>
      </c>
      <c r="AT169">
        <v>0</v>
      </c>
      <c r="AU169" t="s">
        <v>242</v>
      </c>
      <c r="AV169" t="s">
        <v>327</v>
      </c>
      <c r="AW169" t="s">
        <v>328</v>
      </c>
      <c r="AX169" t="s">
        <v>458</v>
      </c>
      <c r="AY169">
        <v>77087</v>
      </c>
      <c r="AZ169">
        <v>48201332600</v>
      </c>
      <c r="BA169" t="s">
        <v>329</v>
      </c>
      <c r="BB169" t="s">
        <v>330</v>
      </c>
      <c r="BC169">
        <v>158757</v>
      </c>
      <c r="BD169">
        <v>2840</v>
      </c>
      <c r="BE169" t="s">
        <v>407</v>
      </c>
      <c r="BF169" t="s">
        <v>407</v>
      </c>
      <c r="BG169" t="s">
        <v>407</v>
      </c>
    </row>
    <row r="170" spans="1:59" x14ac:dyDescent="0.3">
      <c r="A170">
        <v>531314</v>
      </c>
      <c r="B170">
        <v>18461594</v>
      </c>
      <c r="C170">
        <v>2021</v>
      </c>
      <c r="D170" s="62">
        <v>44443</v>
      </c>
      <c r="E170">
        <v>9</v>
      </c>
      <c r="F170" t="s">
        <v>436</v>
      </c>
      <c r="G170" t="s">
        <v>319</v>
      </c>
      <c r="H170" t="s">
        <v>467</v>
      </c>
      <c r="I170" t="s">
        <v>411</v>
      </c>
      <c r="J170">
        <v>29.691338229999999</v>
      </c>
      <c r="K170">
        <v>-95.298857249999998</v>
      </c>
      <c r="L170" t="s">
        <v>321</v>
      </c>
      <c r="M170" t="s">
        <v>322</v>
      </c>
      <c r="N170" t="s">
        <v>448</v>
      </c>
      <c r="O170" t="s">
        <v>324</v>
      </c>
      <c r="P170" t="s">
        <v>283</v>
      </c>
      <c r="Q170" t="s">
        <v>325</v>
      </c>
      <c r="R170" t="s">
        <v>412</v>
      </c>
      <c r="S170">
        <v>0</v>
      </c>
      <c r="T170">
        <v>0</v>
      </c>
      <c r="U170">
        <v>0</v>
      </c>
      <c r="V170">
        <v>2</v>
      </c>
      <c r="W170">
        <v>2</v>
      </c>
      <c r="X170">
        <v>2</v>
      </c>
      <c r="Y170">
        <v>0</v>
      </c>
      <c r="Z170">
        <v>0</v>
      </c>
      <c r="AA170">
        <v>0</v>
      </c>
      <c r="AB170">
        <v>0</v>
      </c>
      <c r="AC170">
        <v>2</v>
      </c>
      <c r="AD170">
        <v>2</v>
      </c>
      <c r="AE170">
        <v>2</v>
      </c>
      <c r="AF170">
        <v>0</v>
      </c>
      <c r="AG170">
        <v>0</v>
      </c>
      <c r="AH170">
        <v>0</v>
      </c>
      <c r="AI170">
        <v>0</v>
      </c>
      <c r="AJ170">
        <v>0</v>
      </c>
      <c r="AK170">
        <v>0</v>
      </c>
      <c r="AL170">
        <v>0</v>
      </c>
      <c r="AM170">
        <v>0</v>
      </c>
      <c r="AN170">
        <v>0</v>
      </c>
      <c r="AO170">
        <v>0</v>
      </c>
      <c r="AP170">
        <v>0</v>
      </c>
      <c r="AQ170">
        <v>0</v>
      </c>
      <c r="AR170">
        <v>0</v>
      </c>
      <c r="AS170">
        <v>0</v>
      </c>
      <c r="AT170">
        <v>0</v>
      </c>
      <c r="AU170" t="s">
        <v>242</v>
      </c>
      <c r="AV170" t="s">
        <v>457</v>
      </c>
      <c r="AW170" t="s">
        <v>328</v>
      </c>
      <c r="AX170" t="s">
        <v>458</v>
      </c>
      <c r="AY170">
        <v>77087</v>
      </c>
      <c r="AZ170">
        <v>48201332800</v>
      </c>
      <c r="BA170" t="s">
        <v>329</v>
      </c>
      <c r="BB170" t="s">
        <v>330</v>
      </c>
      <c r="BC170">
        <v>54037</v>
      </c>
      <c r="BD170">
        <v>2892</v>
      </c>
      <c r="BE170" t="s">
        <v>407</v>
      </c>
      <c r="BF170" t="s">
        <v>407</v>
      </c>
      <c r="BG170" t="s">
        <v>407</v>
      </c>
    </row>
    <row r="171" spans="1:59" x14ac:dyDescent="0.3">
      <c r="A171">
        <v>536479</v>
      </c>
      <c r="B171">
        <v>18482201</v>
      </c>
      <c r="C171">
        <v>2021</v>
      </c>
      <c r="D171" s="62">
        <v>44452</v>
      </c>
      <c r="E171">
        <v>6</v>
      </c>
      <c r="F171" t="s">
        <v>417</v>
      </c>
      <c r="G171" t="s">
        <v>319</v>
      </c>
      <c r="H171" t="s">
        <v>453</v>
      </c>
      <c r="I171" t="s">
        <v>437</v>
      </c>
      <c r="J171">
        <v>29.686131450000001</v>
      </c>
      <c r="K171">
        <v>-95.296952790000006</v>
      </c>
      <c r="L171" t="s">
        <v>430</v>
      </c>
      <c r="M171" t="s">
        <v>322</v>
      </c>
      <c r="N171" t="s">
        <v>323</v>
      </c>
      <c r="O171" t="s">
        <v>324</v>
      </c>
      <c r="P171" t="s">
        <v>414</v>
      </c>
      <c r="Q171" t="s">
        <v>332</v>
      </c>
      <c r="R171" t="s">
        <v>447</v>
      </c>
      <c r="S171">
        <v>0</v>
      </c>
      <c r="T171">
        <v>0</v>
      </c>
      <c r="U171">
        <v>0</v>
      </c>
      <c r="V171">
        <v>0</v>
      </c>
      <c r="W171">
        <v>0</v>
      </c>
      <c r="X171">
        <v>2</v>
      </c>
      <c r="Y171">
        <v>0</v>
      </c>
      <c r="Z171">
        <v>0</v>
      </c>
      <c r="AA171">
        <v>0</v>
      </c>
      <c r="AB171">
        <v>0</v>
      </c>
      <c r="AC171">
        <v>0</v>
      </c>
      <c r="AD171">
        <v>2</v>
      </c>
      <c r="AE171">
        <v>0</v>
      </c>
      <c r="AF171">
        <v>0</v>
      </c>
      <c r="AG171">
        <v>0</v>
      </c>
      <c r="AH171">
        <v>0</v>
      </c>
      <c r="AI171">
        <v>0</v>
      </c>
      <c r="AJ171">
        <v>0</v>
      </c>
      <c r="AK171">
        <v>0</v>
      </c>
      <c r="AL171">
        <v>0</v>
      </c>
      <c r="AM171">
        <v>0</v>
      </c>
      <c r="AN171">
        <v>0</v>
      </c>
      <c r="AO171">
        <v>0</v>
      </c>
      <c r="AP171">
        <v>0</v>
      </c>
      <c r="AQ171">
        <v>0</v>
      </c>
      <c r="AR171">
        <v>0</v>
      </c>
      <c r="AS171">
        <v>0</v>
      </c>
      <c r="AT171">
        <v>0</v>
      </c>
      <c r="AU171" t="s">
        <v>242</v>
      </c>
      <c r="AV171" t="s">
        <v>457</v>
      </c>
      <c r="AW171" t="s">
        <v>328</v>
      </c>
      <c r="AX171" t="s">
        <v>458</v>
      </c>
      <c r="AY171">
        <v>77087</v>
      </c>
      <c r="AZ171">
        <v>48201332800</v>
      </c>
      <c r="BA171" t="s">
        <v>329</v>
      </c>
      <c r="BB171" t="s">
        <v>330</v>
      </c>
      <c r="BC171">
        <v>53817</v>
      </c>
      <c r="BD171">
        <v>2840</v>
      </c>
      <c r="BE171" t="s">
        <v>407</v>
      </c>
      <c r="BF171" t="s">
        <v>407</v>
      </c>
      <c r="BG171" t="s">
        <v>407</v>
      </c>
    </row>
    <row r="172" spans="1:59" x14ac:dyDescent="0.3">
      <c r="A172">
        <v>539967</v>
      </c>
      <c r="B172">
        <v>18496358</v>
      </c>
      <c r="C172">
        <v>2021</v>
      </c>
      <c r="D172" s="62">
        <v>44464</v>
      </c>
      <c r="E172">
        <v>8</v>
      </c>
      <c r="F172" t="s">
        <v>436</v>
      </c>
      <c r="G172" t="s">
        <v>319</v>
      </c>
      <c r="H172" t="s">
        <v>453</v>
      </c>
      <c r="I172" t="s">
        <v>427</v>
      </c>
      <c r="J172">
        <v>29.693553430000001</v>
      </c>
      <c r="K172">
        <v>-95.299379369999997</v>
      </c>
      <c r="L172" t="s">
        <v>321</v>
      </c>
      <c r="M172" t="s">
        <v>322</v>
      </c>
      <c r="N172" t="s">
        <v>429</v>
      </c>
      <c r="O172" t="s">
        <v>324</v>
      </c>
      <c r="P172" t="s">
        <v>414</v>
      </c>
      <c r="Q172" t="s">
        <v>332</v>
      </c>
      <c r="R172" t="s">
        <v>416</v>
      </c>
      <c r="S172">
        <v>0</v>
      </c>
      <c r="T172">
        <v>0</v>
      </c>
      <c r="U172">
        <v>0</v>
      </c>
      <c r="V172">
        <v>0</v>
      </c>
      <c r="W172">
        <v>0</v>
      </c>
      <c r="X172">
        <v>2</v>
      </c>
      <c r="Y172">
        <v>0</v>
      </c>
      <c r="Z172">
        <v>0</v>
      </c>
      <c r="AA172">
        <v>0</v>
      </c>
      <c r="AB172">
        <v>0</v>
      </c>
      <c r="AC172">
        <v>0</v>
      </c>
      <c r="AD172">
        <v>2</v>
      </c>
      <c r="AE172">
        <v>0</v>
      </c>
      <c r="AF172">
        <v>0</v>
      </c>
      <c r="AG172">
        <v>0</v>
      </c>
      <c r="AH172">
        <v>0</v>
      </c>
      <c r="AI172">
        <v>0</v>
      </c>
      <c r="AJ172">
        <v>0</v>
      </c>
      <c r="AK172">
        <v>0</v>
      </c>
      <c r="AL172">
        <v>0</v>
      </c>
      <c r="AM172">
        <v>0</v>
      </c>
      <c r="AN172">
        <v>0</v>
      </c>
      <c r="AO172">
        <v>0</v>
      </c>
      <c r="AP172">
        <v>0</v>
      </c>
      <c r="AQ172">
        <v>0</v>
      </c>
      <c r="AR172">
        <v>0</v>
      </c>
      <c r="AS172">
        <v>0</v>
      </c>
      <c r="AT172">
        <v>0</v>
      </c>
      <c r="AU172" t="s">
        <v>242</v>
      </c>
      <c r="AV172" t="s">
        <v>457</v>
      </c>
      <c r="AW172" t="s">
        <v>328</v>
      </c>
      <c r="AX172" t="s">
        <v>458</v>
      </c>
      <c r="AY172">
        <v>77087</v>
      </c>
      <c r="AZ172">
        <v>48201332900</v>
      </c>
      <c r="BA172" t="s">
        <v>329</v>
      </c>
      <c r="BB172" t="s">
        <v>330</v>
      </c>
      <c r="BC172">
        <v>54257</v>
      </c>
      <c r="BD172">
        <v>2892</v>
      </c>
      <c r="BE172" t="s">
        <v>407</v>
      </c>
      <c r="BF172" t="s">
        <v>407</v>
      </c>
      <c r="BG172" t="s">
        <v>407</v>
      </c>
    </row>
    <row r="173" spans="1:59" x14ac:dyDescent="0.3">
      <c r="A173">
        <v>542311</v>
      </c>
      <c r="B173">
        <v>18506001</v>
      </c>
      <c r="C173">
        <v>2021</v>
      </c>
      <c r="D173" s="62">
        <v>44466</v>
      </c>
      <c r="E173">
        <v>9</v>
      </c>
      <c r="F173" t="s">
        <v>417</v>
      </c>
      <c r="G173" t="s">
        <v>319</v>
      </c>
      <c r="H173" t="s">
        <v>453</v>
      </c>
      <c r="I173" t="s">
        <v>427</v>
      </c>
      <c r="J173">
        <v>29.69351481</v>
      </c>
      <c r="K173">
        <v>-95.299363110000002</v>
      </c>
      <c r="L173" t="s">
        <v>420</v>
      </c>
      <c r="M173" t="s">
        <v>322</v>
      </c>
      <c r="N173" t="s">
        <v>429</v>
      </c>
      <c r="O173" t="s">
        <v>324</v>
      </c>
      <c r="P173" t="s">
        <v>283</v>
      </c>
      <c r="Q173" t="s">
        <v>331</v>
      </c>
      <c r="R173" t="s">
        <v>433</v>
      </c>
      <c r="S173">
        <v>0</v>
      </c>
      <c r="T173">
        <v>0</v>
      </c>
      <c r="U173">
        <v>0</v>
      </c>
      <c r="V173">
        <v>2</v>
      </c>
      <c r="W173">
        <v>2</v>
      </c>
      <c r="X173">
        <v>0</v>
      </c>
      <c r="Y173">
        <v>0</v>
      </c>
      <c r="Z173">
        <v>0</v>
      </c>
      <c r="AA173">
        <v>0</v>
      </c>
      <c r="AB173">
        <v>0</v>
      </c>
      <c r="AC173">
        <v>2</v>
      </c>
      <c r="AD173">
        <v>0</v>
      </c>
      <c r="AE173">
        <v>2</v>
      </c>
      <c r="AF173">
        <v>0</v>
      </c>
      <c r="AG173">
        <v>0</v>
      </c>
      <c r="AH173">
        <v>0</v>
      </c>
      <c r="AI173">
        <v>0</v>
      </c>
      <c r="AJ173">
        <v>0</v>
      </c>
      <c r="AK173">
        <v>0</v>
      </c>
      <c r="AL173">
        <v>0</v>
      </c>
      <c r="AM173">
        <v>0</v>
      </c>
      <c r="AN173">
        <v>0</v>
      </c>
      <c r="AO173">
        <v>0</v>
      </c>
      <c r="AP173">
        <v>0</v>
      </c>
      <c r="AQ173">
        <v>0</v>
      </c>
      <c r="AR173">
        <v>0</v>
      </c>
      <c r="AS173">
        <v>0</v>
      </c>
      <c r="AT173">
        <v>0</v>
      </c>
      <c r="AU173" t="s">
        <v>242</v>
      </c>
      <c r="AV173" t="s">
        <v>457</v>
      </c>
      <c r="AW173" t="s">
        <v>328</v>
      </c>
      <c r="AX173" t="s">
        <v>458</v>
      </c>
      <c r="AY173">
        <v>77087</v>
      </c>
      <c r="AZ173">
        <v>48201332900</v>
      </c>
      <c r="BA173" t="s">
        <v>329</v>
      </c>
      <c r="BB173" t="s">
        <v>330</v>
      </c>
      <c r="BC173">
        <v>54257</v>
      </c>
      <c r="BD173">
        <v>2892</v>
      </c>
      <c r="BE173" t="s">
        <v>407</v>
      </c>
      <c r="BF173" t="s">
        <v>407</v>
      </c>
      <c r="BG173" t="s">
        <v>407</v>
      </c>
    </row>
    <row r="174" spans="1:59" x14ac:dyDescent="0.3">
      <c r="A174">
        <v>547112</v>
      </c>
      <c r="B174">
        <v>18524364</v>
      </c>
      <c r="C174">
        <v>2021</v>
      </c>
      <c r="D174" s="62">
        <v>44478</v>
      </c>
      <c r="E174">
        <v>9</v>
      </c>
      <c r="F174" t="s">
        <v>436</v>
      </c>
      <c r="G174" t="s">
        <v>319</v>
      </c>
      <c r="H174" t="s">
        <v>473</v>
      </c>
      <c r="I174" t="s">
        <v>419</v>
      </c>
      <c r="J174">
        <v>29.674964809999999</v>
      </c>
      <c r="K174">
        <v>-95.289238679999997</v>
      </c>
      <c r="L174" t="s">
        <v>321</v>
      </c>
      <c r="M174" t="s">
        <v>322</v>
      </c>
      <c r="N174" t="s">
        <v>323</v>
      </c>
      <c r="O174" t="s">
        <v>324</v>
      </c>
      <c r="P174" t="s">
        <v>414</v>
      </c>
      <c r="Q174" t="s">
        <v>325</v>
      </c>
      <c r="R174" t="s">
        <v>412</v>
      </c>
      <c r="S174">
        <v>0</v>
      </c>
      <c r="T174">
        <v>0</v>
      </c>
      <c r="U174">
        <v>0</v>
      </c>
      <c r="V174">
        <v>0</v>
      </c>
      <c r="W174">
        <v>0</v>
      </c>
      <c r="X174">
        <v>2</v>
      </c>
      <c r="Y174">
        <v>0</v>
      </c>
      <c r="Z174">
        <v>0</v>
      </c>
      <c r="AA174">
        <v>0</v>
      </c>
      <c r="AB174">
        <v>0</v>
      </c>
      <c r="AC174">
        <v>0</v>
      </c>
      <c r="AD174">
        <v>2</v>
      </c>
      <c r="AE174">
        <v>0</v>
      </c>
      <c r="AF174">
        <v>0</v>
      </c>
      <c r="AG174">
        <v>0</v>
      </c>
      <c r="AH174">
        <v>0</v>
      </c>
      <c r="AI174">
        <v>0</v>
      </c>
      <c r="AJ174">
        <v>0</v>
      </c>
      <c r="AK174">
        <v>0</v>
      </c>
      <c r="AL174">
        <v>0</v>
      </c>
      <c r="AM174">
        <v>0</v>
      </c>
      <c r="AN174">
        <v>0</v>
      </c>
      <c r="AO174">
        <v>0</v>
      </c>
      <c r="AP174">
        <v>0</v>
      </c>
      <c r="AQ174">
        <v>0</v>
      </c>
      <c r="AR174">
        <v>0</v>
      </c>
      <c r="AS174">
        <v>0</v>
      </c>
      <c r="AT174">
        <v>0</v>
      </c>
      <c r="AU174" t="s">
        <v>242</v>
      </c>
      <c r="AV174" t="s">
        <v>457</v>
      </c>
      <c r="AW174" t="s">
        <v>328</v>
      </c>
      <c r="AX174" t="s">
        <v>458</v>
      </c>
      <c r="AY174">
        <v>77087</v>
      </c>
      <c r="AZ174">
        <v>48201333000</v>
      </c>
      <c r="BA174" t="s">
        <v>329</v>
      </c>
      <c r="BB174" t="s">
        <v>330</v>
      </c>
      <c r="BC174">
        <v>53378</v>
      </c>
      <c r="BD174">
        <v>2840</v>
      </c>
      <c r="BE174" t="s">
        <v>407</v>
      </c>
      <c r="BF174" t="s">
        <v>407</v>
      </c>
      <c r="BG174" t="s">
        <v>407</v>
      </c>
    </row>
    <row r="175" spans="1:59" x14ac:dyDescent="0.3">
      <c r="A175">
        <v>551075</v>
      </c>
      <c r="B175">
        <v>18539563</v>
      </c>
      <c r="C175">
        <v>2021</v>
      </c>
      <c r="D175" s="62">
        <v>44468</v>
      </c>
      <c r="E175">
        <v>20</v>
      </c>
      <c r="F175" t="s">
        <v>405</v>
      </c>
      <c r="G175" t="s">
        <v>319</v>
      </c>
      <c r="H175" t="s">
        <v>453</v>
      </c>
      <c r="I175" t="s">
        <v>320</v>
      </c>
      <c r="J175">
        <v>29.685089820000002</v>
      </c>
      <c r="K175">
        <v>-95.29635811</v>
      </c>
      <c r="L175" t="s">
        <v>321</v>
      </c>
      <c r="M175" t="s">
        <v>431</v>
      </c>
      <c r="N175" t="s">
        <v>500</v>
      </c>
      <c r="O175" t="s">
        <v>324</v>
      </c>
      <c r="P175" t="s">
        <v>283</v>
      </c>
      <c r="Q175" t="s">
        <v>325</v>
      </c>
      <c r="R175" t="s">
        <v>412</v>
      </c>
      <c r="S175">
        <v>0</v>
      </c>
      <c r="T175">
        <v>0</v>
      </c>
      <c r="U175">
        <v>0</v>
      </c>
      <c r="V175">
        <v>1</v>
      </c>
      <c r="W175">
        <v>1</v>
      </c>
      <c r="X175">
        <v>4</v>
      </c>
      <c r="Y175">
        <v>0</v>
      </c>
      <c r="Z175">
        <v>0</v>
      </c>
      <c r="AA175">
        <v>0</v>
      </c>
      <c r="AB175">
        <v>0</v>
      </c>
      <c r="AC175">
        <v>1</v>
      </c>
      <c r="AD175">
        <v>4</v>
      </c>
      <c r="AE175">
        <v>1</v>
      </c>
      <c r="AF175">
        <v>0</v>
      </c>
      <c r="AG175">
        <v>0</v>
      </c>
      <c r="AH175">
        <v>0</v>
      </c>
      <c r="AI175">
        <v>0</v>
      </c>
      <c r="AJ175">
        <v>0</v>
      </c>
      <c r="AK175">
        <v>0</v>
      </c>
      <c r="AL175">
        <v>0</v>
      </c>
      <c r="AM175">
        <v>0</v>
      </c>
      <c r="AN175">
        <v>0</v>
      </c>
      <c r="AO175">
        <v>0</v>
      </c>
      <c r="AP175">
        <v>0</v>
      </c>
      <c r="AQ175">
        <v>0</v>
      </c>
      <c r="AR175">
        <v>0</v>
      </c>
      <c r="AS175">
        <v>0</v>
      </c>
      <c r="AT175">
        <v>0</v>
      </c>
      <c r="AU175" t="s">
        <v>242</v>
      </c>
      <c r="AV175" t="s">
        <v>457</v>
      </c>
      <c r="AW175" t="s">
        <v>328</v>
      </c>
      <c r="AX175" t="s">
        <v>458</v>
      </c>
      <c r="AY175">
        <v>77087</v>
      </c>
      <c r="AZ175">
        <v>48201332700</v>
      </c>
      <c r="BA175" t="s">
        <v>329</v>
      </c>
      <c r="BB175" t="s">
        <v>330</v>
      </c>
      <c r="BC175">
        <v>53817</v>
      </c>
      <c r="BD175">
        <v>2840</v>
      </c>
      <c r="BE175" t="s">
        <v>407</v>
      </c>
      <c r="BF175" t="s">
        <v>407</v>
      </c>
      <c r="BG175" t="s">
        <v>407</v>
      </c>
    </row>
    <row r="176" spans="1:59" x14ac:dyDescent="0.3">
      <c r="A176">
        <v>552555</v>
      </c>
      <c r="B176">
        <v>18545399</v>
      </c>
      <c r="C176">
        <v>2021</v>
      </c>
      <c r="D176" s="62">
        <v>44474</v>
      </c>
      <c r="E176">
        <v>12</v>
      </c>
      <c r="F176" t="s">
        <v>318</v>
      </c>
      <c r="G176" t="s">
        <v>319</v>
      </c>
      <c r="H176" t="s">
        <v>453</v>
      </c>
      <c r="I176" t="s">
        <v>320</v>
      </c>
      <c r="J176">
        <v>29.692694809999999</v>
      </c>
      <c r="K176">
        <v>-95.299003110000001</v>
      </c>
      <c r="L176" t="s">
        <v>321</v>
      </c>
      <c r="M176" t="s">
        <v>322</v>
      </c>
      <c r="N176" t="s">
        <v>323</v>
      </c>
      <c r="O176" t="s">
        <v>324</v>
      </c>
      <c r="P176" t="s">
        <v>414</v>
      </c>
      <c r="Q176" t="s">
        <v>331</v>
      </c>
      <c r="R176" t="s">
        <v>472</v>
      </c>
      <c r="S176">
        <v>0</v>
      </c>
      <c r="T176">
        <v>0</v>
      </c>
      <c r="U176">
        <v>0</v>
      </c>
      <c r="V176">
        <v>0</v>
      </c>
      <c r="W176">
        <v>0</v>
      </c>
      <c r="X176">
        <v>2</v>
      </c>
      <c r="Y176">
        <v>1</v>
      </c>
      <c r="Z176">
        <v>0</v>
      </c>
      <c r="AA176">
        <v>0</v>
      </c>
      <c r="AB176">
        <v>0</v>
      </c>
      <c r="AC176">
        <v>0</v>
      </c>
      <c r="AD176">
        <v>2</v>
      </c>
      <c r="AE176">
        <v>0</v>
      </c>
      <c r="AF176">
        <v>1</v>
      </c>
      <c r="AG176">
        <v>0</v>
      </c>
      <c r="AH176">
        <v>0</v>
      </c>
      <c r="AI176">
        <v>0</v>
      </c>
      <c r="AJ176">
        <v>0</v>
      </c>
      <c r="AK176">
        <v>0</v>
      </c>
      <c r="AL176">
        <v>0</v>
      </c>
      <c r="AM176">
        <v>0</v>
      </c>
      <c r="AN176">
        <v>0</v>
      </c>
      <c r="AO176">
        <v>0</v>
      </c>
      <c r="AP176">
        <v>0</v>
      </c>
      <c r="AQ176">
        <v>0</v>
      </c>
      <c r="AR176">
        <v>0</v>
      </c>
      <c r="AS176">
        <v>0</v>
      </c>
      <c r="AT176">
        <v>0</v>
      </c>
      <c r="AU176" t="s">
        <v>242</v>
      </c>
      <c r="AV176" t="s">
        <v>457</v>
      </c>
      <c r="AW176" t="s">
        <v>328</v>
      </c>
      <c r="AX176" t="s">
        <v>458</v>
      </c>
      <c r="AY176">
        <v>77087</v>
      </c>
      <c r="AZ176">
        <v>48201332800</v>
      </c>
      <c r="BA176" t="s">
        <v>329</v>
      </c>
      <c r="BB176" t="s">
        <v>330</v>
      </c>
      <c r="BC176">
        <v>54037</v>
      </c>
      <c r="BD176">
        <v>2892</v>
      </c>
      <c r="BE176" t="s">
        <v>407</v>
      </c>
      <c r="BF176" t="s">
        <v>407</v>
      </c>
      <c r="BG176" t="s">
        <v>407</v>
      </c>
    </row>
    <row r="177" spans="1:59" x14ac:dyDescent="0.3">
      <c r="A177">
        <v>555010</v>
      </c>
      <c r="B177">
        <v>18555122</v>
      </c>
      <c r="C177">
        <v>2021</v>
      </c>
      <c r="D177" s="62">
        <v>44483</v>
      </c>
      <c r="E177">
        <v>20</v>
      </c>
      <c r="F177" t="s">
        <v>425</v>
      </c>
      <c r="G177" t="s">
        <v>319</v>
      </c>
      <c r="H177" t="s">
        <v>504</v>
      </c>
      <c r="I177" t="s">
        <v>419</v>
      </c>
      <c r="J177">
        <v>29.685978559999999</v>
      </c>
      <c r="K177">
        <v>-95.296530799999999</v>
      </c>
      <c r="L177" t="s">
        <v>321</v>
      </c>
      <c r="M177" t="s">
        <v>431</v>
      </c>
      <c r="N177" t="s">
        <v>422</v>
      </c>
      <c r="O177" t="s">
        <v>324</v>
      </c>
      <c r="P177" t="s">
        <v>414</v>
      </c>
      <c r="Q177" t="s">
        <v>325</v>
      </c>
      <c r="R177" t="s">
        <v>434</v>
      </c>
      <c r="S177">
        <v>0</v>
      </c>
      <c r="T177">
        <v>0</v>
      </c>
      <c r="U177">
        <v>0</v>
      </c>
      <c r="V177">
        <v>0</v>
      </c>
      <c r="W177">
        <v>0</v>
      </c>
      <c r="X177">
        <v>2</v>
      </c>
      <c r="Y177">
        <v>0</v>
      </c>
      <c r="Z177">
        <v>0</v>
      </c>
      <c r="AA177">
        <v>0</v>
      </c>
      <c r="AB177">
        <v>0</v>
      </c>
      <c r="AC177">
        <v>0</v>
      </c>
      <c r="AD177">
        <v>2</v>
      </c>
      <c r="AE177">
        <v>0</v>
      </c>
      <c r="AF177">
        <v>0</v>
      </c>
      <c r="AG177">
        <v>0</v>
      </c>
      <c r="AH177">
        <v>0</v>
      </c>
      <c r="AI177">
        <v>0</v>
      </c>
      <c r="AJ177">
        <v>0</v>
      </c>
      <c r="AK177">
        <v>0</v>
      </c>
      <c r="AL177">
        <v>0</v>
      </c>
      <c r="AM177">
        <v>0</v>
      </c>
      <c r="AN177">
        <v>0</v>
      </c>
      <c r="AO177">
        <v>0</v>
      </c>
      <c r="AP177">
        <v>0</v>
      </c>
      <c r="AQ177">
        <v>0</v>
      </c>
      <c r="AR177">
        <v>0</v>
      </c>
      <c r="AS177">
        <v>0</v>
      </c>
      <c r="AT177">
        <v>0</v>
      </c>
      <c r="AU177" t="s">
        <v>242</v>
      </c>
      <c r="AV177" t="s">
        <v>457</v>
      </c>
      <c r="AW177" t="s">
        <v>328</v>
      </c>
      <c r="AX177" t="s">
        <v>458</v>
      </c>
      <c r="AY177">
        <v>77087</v>
      </c>
      <c r="AZ177">
        <v>48201332900</v>
      </c>
      <c r="BA177" t="s">
        <v>329</v>
      </c>
      <c r="BB177" t="s">
        <v>330</v>
      </c>
      <c r="BC177">
        <v>53817</v>
      </c>
      <c r="BD177">
        <v>2840</v>
      </c>
      <c r="BE177" t="s">
        <v>407</v>
      </c>
      <c r="BF177" t="s">
        <v>407</v>
      </c>
      <c r="BG177" t="s">
        <v>407</v>
      </c>
    </row>
    <row r="178" spans="1:59" x14ac:dyDescent="0.3">
      <c r="A178">
        <v>559296</v>
      </c>
      <c r="B178">
        <v>18572753</v>
      </c>
      <c r="C178">
        <v>2021</v>
      </c>
      <c r="D178" s="62">
        <v>44504</v>
      </c>
      <c r="E178">
        <v>14</v>
      </c>
      <c r="F178" t="s">
        <v>425</v>
      </c>
      <c r="G178" t="s">
        <v>319</v>
      </c>
      <c r="H178" t="s">
        <v>453</v>
      </c>
      <c r="I178" t="s">
        <v>320</v>
      </c>
      <c r="J178">
        <v>29.676936049999998</v>
      </c>
      <c r="K178">
        <v>-95.290832519999995</v>
      </c>
      <c r="L178" t="s">
        <v>321</v>
      </c>
      <c r="M178" t="s">
        <v>322</v>
      </c>
      <c r="N178" t="s">
        <v>323</v>
      </c>
      <c r="O178" t="s">
        <v>324</v>
      </c>
      <c r="P178" t="s">
        <v>414</v>
      </c>
      <c r="Q178" t="s">
        <v>331</v>
      </c>
      <c r="R178" t="s">
        <v>434</v>
      </c>
      <c r="S178">
        <v>0</v>
      </c>
      <c r="T178">
        <v>0</v>
      </c>
      <c r="U178">
        <v>0</v>
      </c>
      <c r="V178">
        <v>0</v>
      </c>
      <c r="W178">
        <v>0</v>
      </c>
      <c r="X178">
        <v>2</v>
      </c>
      <c r="Y178">
        <v>0</v>
      </c>
      <c r="Z178">
        <v>0</v>
      </c>
      <c r="AA178">
        <v>0</v>
      </c>
      <c r="AB178">
        <v>0</v>
      </c>
      <c r="AC178">
        <v>0</v>
      </c>
      <c r="AD178">
        <v>2</v>
      </c>
      <c r="AE178">
        <v>0</v>
      </c>
      <c r="AF178">
        <v>0</v>
      </c>
      <c r="AG178">
        <v>0</v>
      </c>
      <c r="AH178">
        <v>0</v>
      </c>
      <c r="AI178">
        <v>0</v>
      </c>
      <c r="AJ178">
        <v>0</v>
      </c>
      <c r="AK178">
        <v>0</v>
      </c>
      <c r="AL178">
        <v>0</v>
      </c>
      <c r="AM178">
        <v>0</v>
      </c>
      <c r="AN178">
        <v>0</v>
      </c>
      <c r="AO178">
        <v>0</v>
      </c>
      <c r="AP178">
        <v>0</v>
      </c>
      <c r="AQ178">
        <v>0</v>
      </c>
      <c r="AR178">
        <v>0</v>
      </c>
      <c r="AS178">
        <v>0</v>
      </c>
      <c r="AT178">
        <v>0</v>
      </c>
      <c r="AU178" t="s">
        <v>242</v>
      </c>
      <c r="AV178" t="s">
        <v>327</v>
      </c>
      <c r="AW178" t="s">
        <v>328</v>
      </c>
      <c r="AX178" t="s">
        <v>458</v>
      </c>
      <c r="AY178">
        <v>77087</v>
      </c>
      <c r="AZ178">
        <v>48201332600</v>
      </c>
      <c r="BA178" t="s">
        <v>329</v>
      </c>
      <c r="BB178" t="s">
        <v>330</v>
      </c>
      <c r="BC178">
        <v>158757</v>
      </c>
      <c r="BD178">
        <v>2840</v>
      </c>
      <c r="BE178" t="s">
        <v>407</v>
      </c>
      <c r="BF178" t="s">
        <v>407</v>
      </c>
      <c r="BG178" t="s">
        <v>407</v>
      </c>
    </row>
    <row r="179" spans="1:59" x14ac:dyDescent="0.3">
      <c r="A179">
        <v>560141</v>
      </c>
      <c r="B179">
        <v>18575638</v>
      </c>
      <c r="C179">
        <v>2021</v>
      </c>
      <c r="D179" s="62">
        <v>44504</v>
      </c>
      <c r="E179">
        <v>15</v>
      </c>
      <c r="F179" t="s">
        <v>425</v>
      </c>
      <c r="G179" t="s">
        <v>319</v>
      </c>
      <c r="H179" t="s">
        <v>467</v>
      </c>
      <c r="I179" t="s">
        <v>419</v>
      </c>
      <c r="J179">
        <v>29.691314810000002</v>
      </c>
      <c r="K179">
        <v>-95.298783110000002</v>
      </c>
      <c r="L179" t="s">
        <v>321</v>
      </c>
      <c r="M179" t="s">
        <v>322</v>
      </c>
      <c r="N179" t="s">
        <v>429</v>
      </c>
      <c r="O179" t="s">
        <v>456</v>
      </c>
      <c r="P179" t="s">
        <v>441</v>
      </c>
      <c r="Q179" t="s">
        <v>278</v>
      </c>
      <c r="R179" t="s">
        <v>477</v>
      </c>
      <c r="S179">
        <v>0</v>
      </c>
      <c r="T179">
        <v>1</v>
      </c>
      <c r="U179">
        <v>0</v>
      </c>
      <c r="V179">
        <v>0</v>
      </c>
      <c r="W179">
        <v>1</v>
      </c>
      <c r="X179">
        <v>1</v>
      </c>
      <c r="Y179">
        <v>0</v>
      </c>
      <c r="Z179">
        <v>0</v>
      </c>
      <c r="AA179">
        <v>0</v>
      </c>
      <c r="AB179">
        <v>0</v>
      </c>
      <c r="AC179">
        <v>0</v>
      </c>
      <c r="AD179">
        <v>1</v>
      </c>
      <c r="AE179">
        <v>0</v>
      </c>
      <c r="AF179">
        <v>0</v>
      </c>
      <c r="AG179">
        <v>0</v>
      </c>
      <c r="AH179">
        <v>1</v>
      </c>
      <c r="AI179">
        <v>0</v>
      </c>
      <c r="AJ179">
        <v>0</v>
      </c>
      <c r="AK179">
        <v>0</v>
      </c>
      <c r="AL179">
        <v>1</v>
      </c>
      <c r="AM179">
        <v>0</v>
      </c>
      <c r="AN179">
        <v>0</v>
      </c>
      <c r="AO179">
        <v>0</v>
      </c>
      <c r="AP179">
        <v>0</v>
      </c>
      <c r="AQ179">
        <v>0</v>
      </c>
      <c r="AR179">
        <v>0</v>
      </c>
      <c r="AS179">
        <v>0</v>
      </c>
      <c r="AT179">
        <v>0</v>
      </c>
      <c r="AU179" t="s">
        <v>242</v>
      </c>
      <c r="AV179" t="s">
        <v>457</v>
      </c>
      <c r="AW179" t="s">
        <v>328</v>
      </c>
      <c r="AX179" t="s">
        <v>458</v>
      </c>
      <c r="AY179">
        <v>77087</v>
      </c>
      <c r="AZ179">
        <v>48201332900</v>
      </c>
      <c r="BA179" t="s">
        <v>329</v>
      </c>
      <c r="BB179" t="s">
        <v>330</v>
      </c>
      <c r="BC179">
        <v>54037</v>
      </c>
      <c r="BD179">
        <v>2892</v>
      </c>
      <c r="BE179" t="s">
        <v>407</v>
      </c>
      <c r="BF179" t="s">
        <v>407</v>
      </c>
      <c r="BG179" t="s">
        <v>407</v>
      </c>
    </row>
    <row r="180" spans="1:59" x14ac:dyDescent="0.3">
      <c r="A180">
        <v>562605</v>
      </c>
      <c r="B180">
        <v>18585905</v>
      </c>
      <c r="C180">
        <v>2021</v>
      </c>
      <c r="D180" s="62">
        <v>44511</v>
      </c>
      <c r="E180">
        <v>15</v>
      </c>
      <c r="F180" t="s">
        <v>425</v>
      </c>
      <c r="G180" t="s">
        <v>319</v>
      </c>
      <c r="H180" t="s">
        <v>453</v>
      </c>
      <c r="I180" t="s">
        <v>427</v>
      </c>
      <c r="J180">
        <v>29.678814809999999</v>
      </c>
      <c r="K180">
        <v>-95.292193109999999</v>
      </c>
      <c r="L180" t="s">
        <v>321</v>
      </c>
      <c r="M180" t="s">
        <v>322</v>
      </c>
      <c r="N180" t="s">
        <v>429</v>
      </c>
      <c r="O180" t="s">
        <v>324</v>
      </c>
      <c r="P180" t="s">
        <v>414</v>
      </c>
      <c r="Q180" t="s">
        <v>278</v>
      </c>
      <c r="R180" t="s">
        <v>406</v>
      </c>
      <c r="S180">
        <v>0</v>
      </c>
      <c r="T180">
        <v>0</v>
      </c>
      <c r="U180">
        <v>0</v>
      </c>
      <c r="V180">
        <v>0</v>
      </c>
      <c r="W180">
        <v>0</v>
      </c>
      <c r="X180">
        <v>2</v>
      </c>
      <c r="Y180">
        <v>0</v>
      </c>
      <c r="Z180">
        <v>0</v>
      </c>
      <c r="AA180">
        <v>0</v>
      </c>
      <c r="AB180">
        <v>0</v>
      </c>
      <c r="AC180">
        <v>0</v>
      </c>
      <c r="AD180">
        <v>2</v>
      </c>
      <c r="AE180">
        <v>0</v>
      </c>
      <c r="AF180">
        <v>0</v>
      </c>
      <c r="AG180">
        <v>0</v>
      </c>
      <c r="AH180">
        <v>0</v>
      </c>
      <c r="AI180">
        <v>0</v>
      </c>
      <c r="AJ180">
        <v>0</v>
      </c>
      <c r="AK180">
        <v>0</v>
      </c>
      <c r="AL180">
        <v>0</v>
      </c>
      <c r="AM180">
        <v>0</v>
      </c>
      <c r="AN180">
        <v>0</v>
      </c>
      <c r="AO180">
        <v>0</v>
      </c>
      <c r="AP180">
        <v>0</v>
      </c>
      <c r="AQ180">
        <v>0</v>
      </c>
      <c r="AR180">
        <v>0</v>
      </c>
      <c r="AS180">
        <v>0</v>
      </c>
      <c r="AT180">
        <v>0</v>
      </c>
      <c r="AU180" t="s">
        <v>242</v>
      </c>
      <c r="AV180" t="s">
        <v>327</v>
      </c>
      <c r="AW180" t="s">
        <v>328</v>
      </c>
      <c r="AX180" t="s">
        <v>458</v>
      </c>
      <c r="AY180">
        <v>77087</v>
      </c>
      <c r="AZ180">
        <v>48201332600</v>
      </c>
      <c r="BA180" t="s">
        <v>329</v>
      </c>
      <c r="BB180" t="s">
        <v>330</v>
      </c>
      <c r="BC180">
        <v>158977</v>
      </c>
      <c r="BD180">
        <v>2840</v>
      </c>
      <c r="BE180" t="s">
        <v>407</v>
      </c>
      <c r="BF180" t="s">
        <v>407</v>
      </c>
      <c r="BG180" t="s">
        <v>407</v>
      </c>
    </row>
    <row r="181" spans="1:59" x14ac:dyDescent="0.3">
      <c r="A181">
        <v>564667</v>
      </c>
      <c r="B181">
        <v>18593713</v>
      </c>
      <c r="C181">
        <v>2021</v>
      </c>
      <c r="D181" s="62">
        <v>44496</v>
      </c>
      <c r="E181">
        <v>14</v>
      </c>
      <c r="F181" t="s">
        <v>405</v>
      </c>
      <c r="G181" t="s">
        <v>319</v>
      </c>
      <c r="H181" t="s">
        <v>469</v>
      </c>
      <c r="I181" t="s">
        <v>411</v>
      </c>
      <c r="J181">
        <v>29.68515481</v>
      </c>
      <c r="K181">
        <v>-95.296045340000006</v>
      </c>
      <c r="L181" t="s">
        <v>321</v>
      </c>
      <c r="M181" t="s">
        <v>322</v>
      </c>
      <c r="N181" t="s">
        <v>323</v>
      </c>
      <c r="O181" t="s">
        <v>324</v>
      </c>
      <c r="P181" t="s">
        <v>414</v>
      </c>
      <c r="Q181" t="s">
        <v>325</v>
      </c>
      <c r="R181" t="s">
        <v>412</v>
      </c>
      <c r="S181">
        <v>0</v>
      </c>
      <c r="T181">
        <v>0</v>
      </c>
      <c r="U181">
        <v>0</v>
      </c>
      <c r="V181">
        <v>0</v>
      </c>
      <c r="W181">
        <v>0</v>
      </c>
      <c r="X181">
        <v>2</v>
      </c>
      <c r="Y181">
        <v>0</v>
      </c>
      <c r="Z181">
        <v>0</v>
      </c>
      <c r="AA181">
        <v>0</v>
      </c>
      <c r="AB181">
        <v>0</v>
      </c>
      <c r="AC181">
        <v>0</v>
      </c>
      <c r="AD181">
        <v>2</v>
      </c>
      <c r="AE181">
        <v>0</v>
      </c>
      <c r="AF181">
        <v>0</v>
      </c>
      <c r="AG181">
        <v>0</v>
      </c>
      <c r="AH181">
        <v>0</v>
      </c>
      <c r="AI181">
        <v>0</v>
      </c>
      <c r="AJ181">
        <v>0</v>
      </c>
      <c r="AK181">
        <v>0</v>
      </c>
      <c r="AL181">
        <v>0</v>
      </c>
      <c r="AM181">
        <v>0</v>
      </c>
      <c r="AN181">
        <v>0</v>
      </c>
      <c r="AO181">
        <v>0</v>
      </c>
      <c r="AP181">
        <v>0</v>
      </c>
      <c r="AQ181">
        <v>0</v>
      </c>
      <c r="AR181">
        <v>0</v>
      </c>
      <c r="AS181">
        <v>0</v>
      </c>
      <c r="AT181">
        <v>0</v>
      </c>
      <c r="AU181" t="s">
        <v>242</v>
      </c>
      <c r="AV181" t="s">
        <v>457</v>
      </c>
      <c r="AW181" t="s">
        <v>328</v>
      </c>
      <c r="AX181" t="s">
        <v>458</v>
      </c>
      <c r="AY181">
        <v>77087</v>
      </c>
      <c r="AZ181">
        <v>48201332900</v>
      </c>
      <c r="BA181" t="s">
        <v>329</v>
      </c>
      <c r="BB181" t="s">
        <v>330</v>
      </c>
      <c r="BC181">
        <v>53817</v>
      </c>
      <c r="BD181">
        <v>2840</v>
      </c>
      <c r="BE181" t="s">
        <v>407</v>
      </c>
      <c r="BF181" t="s">
        <v>407</v>
      </c>
      <c r="BG181" t="s">
        <v>407</v>
      </c>
    </row>
    <row r="182" spans="1:59" x14ac:dyDescent="0.3">
      <c r="A182">
        <v>576665</v>
      </c>
      <c r="B182">
        <v>18643021</v>
      </c>
      <c r="C182">
        <v>2021</v>
      </c>
      <c r="D182" s="62">
        <v>44540</v>
      </c>
      <c r="E182">
        <v>7</v>
      </c>
      <c r="F182" t="s">
        <v>418</v>
      </c>
      <c r="G182" t="s">
        <v>319</v>
      </c>
      <c r="H182" t="s">
        <v>482</v>
      </c>
      <c r="I182" t="s">
        <v>320</v>
      </c>
      <c r="J182">
        <v>29.681514369999999</v>
      </c>
      <c r="K182">
        <v>-95.293810199999996</v>
      </c>
      <c r="L182" t="s">
        <v>420</v>
      </c>
      <c r="M182" t="s">
        <v>322</v>
      </c>
      <c r="N182" t="s">
        <v>323</v>
      </c>
      <c r="O182" t="s">
        <v>324</v>
      </c>
      <c r="P182" t="s">
        <v>414</v>
      </c>
      <c r="Q182" t="s">
        <v>325</v>
      </c>
      <c r="R182" t="s">
        <v>406</v>
      </c>
      <c r="S182">
        <v>0</v>
      </c>
      <c r="T182">
        <v>0</v>
      </c>
      <c r="U182">
        <v>0</v>
      </c>
      <c r="V182">
        <v>0</v>
      </c>
      <c r="W182">
        <v>0</v>
      </c>
      <c r="X182">
        <v>1</v>
      </c>
      <c r="Y182">
        <v>1</v>
      </c>
      <c r="Z182">
        <v>0</v>
      </c>
      <c r="AA182">
        <v>0</v>
      </c>
      <c r="AB182">
        <v>0</v>
      </c>
      <c r="AC182">
        <v>0</v>
      </c>
      <c r="AD182">
        <v>1</v>
      </c>
      <c r="AE182">
        <v>0</v>
      </c>
      <c r="AF182">
        <v>1</v>
      </c>
      <c r="AG182">
        <v>0</v>
      </c>
      <c r="AH182">
        <v>0</v>
      </c>
      <c r="AI182">
        <v>0</v>
      </c>
      <c r="AJ182">
        <v>0</v>
      </c>
      <c r="AK182">
        <v>0</v>
      </c>
      <c r="AL182">
        <v>0</v>
      </c>
      <c r="AM182">
        <v>0</v>
      </c>
      <c r="AN182">
        <v>0</v>
      </c>
      <c r="AO182">
        <v>0</v>
      </c>
      <c r="AP182">
        <v>0</v>
      </c>
      <c r="AQ182">
        <v>0</v>
      </c>
      <c r="AR182">
        <v>0</v>
      </c>
      <c r="AS182">
        <v>0</v>
      </c>
      <c r="AT182">
        <v>0</v>
      </c>
      <c r="AU182" t="s">
        <v>242</v>
      </c>
      <c r="AV182" t="s">
        <v>457</v>
      </c>
      <c r="AW182" t="s">
        <v>328</v>
      </c>
      <c r="AX182" t="s">
        <v>458</v>
      </c>
      <c r="AY182">
        <v>77087</v>
      </c>
      <c r="AZ182">
        <v>48201333000</v>
      </c>
      <c r="BA182" t="s">
        <v>329</v>
      </c>
      <c r="BB182" t="s">
        <v>330</v>
      </c>
      <c r="BC182">
        <v>158977</v>
      </c>
      <c r="BD182">
        <v>2840</v>
      </c>
      <c r="BE182" t="s">
        <v>407</v>
      </c>
      <c r="BF182" t="s">
        <v>407</v>
      </c>
      <c r="BG182" t="s">
        <v>407</v>
      </c>
    </row>
    <row r="183" spans="1:59" x14ac:dyDescent="0.3">
      <c r="A183">
        <v>580894</v>
      </c>
      <c r="B183">
        <v>18659236</v>
      </c>
      <c r="C183">
        <v>2021</v>
      </c>
      <c r="D183" s="62">
        <v>44513</v>
      </c>
      <c r="E183">
        <v>2</v>
      </c>
      <c r="F183" t="s">
        <v>436</v>
      </c>
      <c r="G183" t="s">
        <v>319</v>
      </c>
      <c r="H183" t="s">
        <v>493</v>
      </c>
      <c r="I183" t="s">
        <v>320</v>
      </c>
      <c r="J183">
        <v>29.68003646</v>
      </c>
      <c r="K183">
        <v>-95.292872209999999</v>
      </c>
      <c r="L183" t="s">
        <v>321</v>
      </c>
      <c r="M183" t="s">
        <v>431</v>
      </c>
      <c r="N183" t="s">
        <v>323</v>
      </c>
      <c r="O183" t="s">
        <v>462</v>
      </c>
      <c r="P183" t="s">
        <v>428</v>
      </c>
      <c r="Q183" t="s">
        <v>332</v>
      </c>
      <c r="R183" t="s">
        <v>406</v>
      </c>
      <c r="S183">
        <v>0</v>
      </c>
      <c r="T183">
        <v>0</v>
      </c>
      <c r="U183">
        <v>0</v>
      </c>
      <c r="V183">
        <v>0</v>
      </c>
      <c r="W183">
        <v>0</v>
      </c>
      <c r="X183">
        <v>0</v>
      </c>
      <c r="Y183">
        <v>1</v>
      </c>
      <c r="Z183">
        <v>0</v>
      </c>
      <c r="AA183">
        <v>0</v>
      </c>
      <c r="AB183">
        <v>0</v>
      </c>
      <c r="AC183">
        <v>0</v>
      </c>
      <c r="AD183">
        <v>0</v>
      </c>
      <c r="AE183">
        <v>0</v>
      </c>
      <c r="AF183">
        <v>1</v>
      </c>
      <c r="AG183">
        <v>0</v>
      </c>
      <c r="AH183">
        <v>0</v>
      </c>
      <c r="AI183">
        <v>0</v>
      </c>
      <c r="AJ183">
        <v>0</v>
      </c>
      <c r="AK183">
        <v>0</v>
      </c>
      <c r="AL183">
        <v>0</v>
      </c>
      <c r="AM183">
        <v>0</v>
      </c>
      <c r="AN183">
        <v>0</v>
      </c>
      <c r="AO183">
        <v>0</v>
      </c>
      <c r="AP183">
        <v>0</v>
      </c>
      <c r="AQ183">
        <v>0</v>
      </c>
      <c r="AR183">
        <v>0</v>
      </c>
      <c r="AS183">
        <v>0</v>
      </c>
      <c r="AT183">
        <v>0</v>
      </c>
      <c r="AU183" t="s">
        <v>242</v>
      </c>
      <c r="AV183" t="s">
        <v>457</v>
      </c>
      <c r="AW183" t="s">
        <v>328</v>
      </c>
      <c r="AX183" t="s">
        <v>458</v>
      </c>
      <c r="AY183">
        <v>77087</v>
      </c>
      <c r="AZ183">
        <v>48201333000</v>
      </c>
      <c r="BA183" t="s">
        <v>329</v>
      </c>
      <c r="BB183" t="s">
        <v>330</v>
      </c>
      <c r="BC183">
        <v>158977</v>
      </c>
      <c r="BD183">
        <v>2840</v>
      </c>
      <c r="BE183" t="s">
        <v>407</v>
      </c>
      <c r="BF183" t="s">
        <v>407</v>
      </c>
      <c r="BG183" t="s">
        <v>407</v>
      </c>
    </row>
    <row r="184" spans="1:59" x14ac:dyDescent="0.3">
      <c r="A184">
        <v>584034</v>
      </c>
      <c r="B184">
        <v>18673133</v>
      </c>
      <c r="C184">
        <v>2021</v>
      </c>
      <c r="D184" s="62">
        <v>44553</v>
      </c>
      <c r="E184">
        <v>16</v>
      </c>
      <c r="F184" t="s">
        <v>425</v>
      </c>
      <c r="G184" t="s">
        <v>319</v>
      </c>
      <c r="H184" t="s">
        <v>453</v>
      </c>
      <c r="I184" t="s">
        <v>320</v>
      </c>
      <c r="J184">
        <v>29.691177750000001</v>
      </c>
      <c r="K184">
        <v>-95.298783110000002</v>
      </c>
      <c r="L184" t="s">
        <v>321</v>
      </c>
      <c r="M184" t="s">
        <v>322</v>
      </c>
      <c r="N184" t="s">
        <v>323</v>
      </c>
      <c r="O184" t="s">
        <v>456</v>
      </c>
      <c r="P184" t="s">
        <v>283</v>
      </c>
      <c r="Q184" t="s">
        <v>278</v>
      </c>
      <c r="R184" t="s">
        <v>477</v>
      </c>
      <c r="S184">
        <v>0</v>
      </c>
      <c r="T184">
        <v>0</v>
      </c>
      <c r="U184">
        <v>0</v>
      </c>
      <c r="V184">
        <v>1</v>
      </c>
      <c r="W184">
        <v>1</v>
      </c>
      <c r="X184">
        <v>0</v>
      </c>
      <c r="Y184">
        <v>1</v>
      </c>
      <c r="Z184">
        <v>0</v>
      </c>
      <c r="AA184">
        <v>0</v>
      </c>
      <c r="AB184">
        <v>0</v>
      </c>
      <c r="AC184">
        <v>0</v>
      </c>
      <c r="AD184">
        <v>0</v>
      </c>
      <c r="AE184">
        <v>0</v>
      </c>
      <c r="AF184">
        <v>1</v>
      </c>
      <c r="AG184">
        <v>0</v>
      </c>
      <c r="AH184">
        <v>0</v>
      </c>
      <c r="AI184">
        <v>0</v>
      </c>
      <c r="AJ184">
        <v>1</v>
      </c>
      <c r="AK184">
        <v>0</v>
      </c>
      <c r="AL184">
        <v>1</v>
      </c>
      <c r="AM184">
        <v>0</v>
      </c>
      <c r="AN184">
        <v>0</v>
      </c>
      <c r="AO184">
        <v>0</v>
      </c>
      <c r="AP184">
        <v>0</v>
      </c>
      <c r="AQ184">
        <v>0</v>
      </c>
      <c r="AR184">
        <v>0</v>
      </c>
      <c r="AS184">
        <v>0</v>
      </c>
      <c r="AT184">
        <v>0</v>
      </c>
      <c r="AU184" t="s">
        <v>242</v>
      </c>
      <c r="AV184" t="s">
        <v>457</v>
      </c>
      <c r="AW184" t="s">
        <v>328</v>
      </c>
      <c r="AX184" t="s">
        <v>458</v>
      </c>
      <c r="AY184">
        <v>77087</v>
      </c>
      <c r="AZ184">
        <v>48201332900</v>
      </c>
      <c r="BA184" t="s">
        <v>329</v>
      </c>
      <c r="BB184" t="s">
        <v>330</v>
      </c>
      <c r="BC184">
        <v>54037</v>
      </c>
      <c r="BD184">
        <v>2892</v>
      </c>
      <c r="BE184" t="s">
        <v>407</v>
      </c>
      <c r="BF184" t="s">
        <v>407</v>
      </c>
      <c r="BG184" t="s">
        <v>407</v>
      </c>
    </row>
    <row r="185" spans="1:59" x14ac:dyDescent="0.3">
      <c r="A185">
        <v>586415</v>
      </c>
      <c r="B185">
        <v>18689359</v>
      </c>
      <c r="C185">
        <v>2021</v>
      </c>
      <c r="D185" s="62">
        <v>44549</v>
      </c>
      <c r="E185">
        <v>16</v>
      </c>
      <c r="F185" t="s">
        <v>408</v>
      </c>
      <c r="G185" t="s">
        <v>319</v>
      </c>
      <c r="H185" t="s">
        <v>453</v>
      </c>
      <c r="I185" t="s">
        <v>411</v>
      </c>
      <c r="J185">
        <v>29.68948537</v>
      </c>
      <c r="K185">
        <v>-95.298735289999996</v>
      </c>
      <c r="L185" t="s">
        <v>420</v>
      </c>
      <c r="M185" t="s">
        <v>322</v>
      </c>
      <c r="N185" t="s">
        <v>323</v>
      </c>
      <c r="O185" t="s">
        <v>324</v>
      </c>
      <c r="P185" t="s">
        <v>414</v>
      </c>
      <c r="Q185" t="s">
        <v>325</v>
      </c>
      <c r="R185" t="s">
        <v>406</v>
      </c>
      <c r="S185">
        <v>0</v>
      </c>
      <c r="T185">
        <v>0</v>
      </c>
      <c r="U185">
        <v>0</v>
      </c>
      <c r="V185">
        <v>0</v>
      </c>
      <c r="W185">
        <v>0</v>
      </c>
      <c r="X185">
        <v>1</v>
      </c>
      <c r="Y185">
        <v>1</v>
      </c>
      <c r="Z185">
        <v>0</v>
      </c>
      <c r="AA185">
        <v>0</v>
      </c>
      <c r="AB185">
        <v>0</v>
      </c>
      <c r="AC185">
        <v>0</v>
      </c>
      <c r="AD185">
        <v>1</v>
      </c>
      <c r="AE185">
        <v>0</v>
      </c>
      <c r="AF185">
        <v>1</v>
      </c>
      <c r="AG185">
        <v>0</v>
      </c>
      <c r="AH185">
        <v>0</v>
      </c>
      <c r="AI185">
        <v>0</v>
      </c>
      <c r="AJ185">
        <v>0</v>
      </c>
      <c r="AK185">
        <v>0</v>
      </c>
      <c r="AL185">
        <v>0</v>
      </c>
      <c r="AM185">
        <v>0</v>
      </c>
      <c r="AN185">
        <v>0</v>
      </c>
      <c r="AO185">
        <v>0</v>
      </c>
      <c r="AP185">
        <v>0</v>
      </c>
      <c r="AQ185">
        <v>0</v>
      </c>
      <c r="AR185">
        <v>0</v>
      </c>
      <c r="AS185">
        <v>0</v>
      </c>
      <c r="AT185">
        <v>0</v>
      </c>
      <c r="AU185" t="s">
        <v>242</v>
      </c>
      <c r="AV185" t="s">
        <v>457</v>
      </c>
      <c r="AW185" t="s">
        <v>328</v>
      </c>
      <c r="AX185" t="s">
        <v>458</v>
      </c>
      <c r="AY185">
        <v>77087</v>
      </c>
      <c r="AZ185">
        <v>48201332900</v>
      </c>
      <c r="BA185" t="s">
        <v>329</v>
      </c>
      <c r="BB185" t="s">
        <v>330</v>
      </c>
      <c r="BC185">
        <v>54037</v>
      </c>
      <c r="BD185">
        <v>2892</v>
      </c>
      <c r="BE185" t="s">
        <v>407</v>
      </c>
      <c r="BF185" t="s">
        <v>407</v>
      </c>
      <c r="BG185" t="s">
        <v>407</v>
      </c>
    </row>
    <row r="186" spans="1:59" x14ac:dyDescent="0.3">
      <c r="A186">
        <v>597221</v>
      </c>
      <c r="B186">
        <v>18721239</v>
      </c>
      <c r="C186">
        <v>2022</v>
      </c>
      <c r="D186" s="62">
        <v>44591</v>
      </c>
      <c r="E186">
        <v>0</v>
      </c>
      <c r="F186" t="s">
        <v>408</v>
      </c>
      <c r="G186" t="s">
        <v>319</v>
      </c>
      <c r="H186" t="s">
        <v>467</v>
      </c>
      <c r="I186" t="s">
        <v>320</v>
      </c>
      <c r="J186">
        <v>29.691333539999999</v>
      </c>
      <c r="K186">
        <v>-95.29884242</v>
      </c>
      <c r="L186" t="s">
        <v>321</v>
      </c>
      <c r="M186" t="s">
        <v>431</v>
      </c>
      <c r="N186" t="s">
        <v>422</v>
      </c>
      <c r="O186" t="s">
        <v>462</v>
      </c>
      <c r="P186" t="s">
        <v>283</v>
      </c>
      <c r="Q186" t="s">
        <v>332</v>
      </c>
      <c r="R186" t="s">
        <v>406</v>
      </c>
      <c r="S186">
        <v>0</v>
      </c>
      <c r="T186">
        <v>0</v>
      </c>
      <c r="U186">
        <v>0</v>
      </c>
      <c r="V186">
        <v>1</v>
      </c>
      <c r="W186">
        <v>1</v>
      </c>
      <c r="X186">
        <v>1</v>
      </c>
      <c r="Y186">
        <v>0</v>
      </c>
      <c r="Z186">
        <v>0</v>
      </c>
      <c r="AA186">
        <v>0</v>
      </c>
      <c r="AB186">
        <v>0</v>
      </c>
      <c r="AC186">
        <v>1</v>
      </c>
      <c r="AD186">
        <v>1</v>
      </c>
      <c r="AE186">
        <v>1</v>
      </c>
      <c r="AF186">
        <v>0</v>
      </c>
      <c r="AG186">
        <v>0</v>
      </c>
      <c r="AH186">
        <v>0</v>
      </c>
      <c r="AI186">
        <v>0</v>
      </c>
      <c r="AJ186">
        <v>0</v>
      </c>
      <c r="AK186">
        <v>0</v>
      </c>
      <c r="AL186">
        <v>0</v>
      </c>
      <c r="AM186">
        <v>0</v>
      </c>
      <c r="AN186">
        <v>0</v>
      </c>
      <c r="AO186">
        <v>0</v>
      </c>
      <c r="AP186">
        <v>0</v>
      </c>
      <c r="AQ186">
        <v>0</v>
      </c>
      <c r="AR186">
        <v>0</v>
      </c>
      <c r="AS186">
        <v>0</v>
      </c>
      <c r="AT186">
        <v>0</v>
      </c>
      <c r="AU186" t="s">
        <v>242</v>
      </c>
      <c r="AV186" t="s">
        <v>457</v>
      </c>
      <c r="AW186" t="s">
        <v>328</v>
      </c>
      <c r="AX186" t="s">
        <v>458</v>
      </c>
      <c r="AY186">
        <v>77087</v>
      </c>
      <c r="AZ186">
        <v>48201332800</v>
      </c>
      <c r="BA186" t="s">
        <v>329</v>
      </c>
      <c r="BB186" t="s">
        <v>330</v>
      </c>
      <c r="BC186">
        <v>54037</v>
      </c>
      <c r="BD186">
        <v>2892</v>
      </c>
      <c r="BE186" t="s">
        <v>407</v>
      </c>
      <c r="BF186" t="s">
        <v>407</v>
      </c>
      <c r="BG186" t="s">
        <v>407</v>
      </c>
    </row>
    <row r="187" spans="1:59" x14ac:dyDescent="0.3">
      <c r="A187">
        <v>605715</v>
      </c>
      <c r="B187">
        <v>18755295</v>
      </c>
      <c r="C187">
        <v>2022</v>
      </c>
      <c r="D187" s="62">
        <v>44602</v>
      </c>
      <c r="E187">
        <v>14</v>
      </c>
      <c r="F187" t="s">
        <v>425</v>
      </c>
      <c r="G187" t="s">
        <v>319</v>
      </c>
      <c r="H187" t="s">
        <v>467</v>
      </c>
      <c r="I187" t="s">
        <v>419</v>
      </c>
      <c r="J187">
        <v>29.691275149999999</v>
      </c>
      <c r="K187">
        <v>-95.298632269999999</v>
      </c>
      <c r="L187" t="s">
        <v>321</v>
      </c>
      <c r="M187" t="s">
        <v>322</v>
      </c>
      <c r="N187" t="s">
        <v>323</v>
      </c>
      <c r="O187" t="s">
        <v>324</v>
      </c>
      <c r="P187" t="s">
        <v>414</v>
      </c>
      <c r="Q187" t="s">
        <v>325</v>
      </c>
      <c r="R187" t="s">
        <v>412</v>
      </c>
      <c r="S187">
        <v>0</v>
      </c>
      <c r="T187">
        <v>0</v>
      </c>
      <c r="U187">
        <v>0</v>
      </c>
      <c r="V187">
        <v>0</v>
      </c>
      <c r="W187">
        <v>0</v>
      </c>
      <c r="X187">
        <v>2</v>
      </c>
      <c r="Y187">
        <v>0</v>
      </c>
      <c r="Z187">
        <v>0</v>
      </c>
      <c r="AA187">
        <v>0</v>
      </c>
      <c r="AB187">
        <v>0</v>
      </c>
      <c r="AC187">
        <v>0</v>
      </c>
      <c r="AD187">
        <v>2</v>
      </c>
      <c r="AE187">
        <v>0</v>
      </c>
      <c r="AF187">
        <v>0</v>
      </c>
      <c r="AG187">
        <v>0</v>
      </c>
      <c r="AH187">
        <v>0</v>
      </c>
      <c r="AI187">
        <v>0</v>
      </c>
      <c r="AJ187">
        <v>0</v>
      </c>
      <c r="AK187">
        <v>0</v>
      </c>
      <c r="AL187">
        <v>0</v>
      </c>
      <c r="AM187">
        <v>0</v>
      </c>
      <c r="AN187">
        <v>0</v>
      </c>
      <c r="AO187">
        <v>0</v>
      </c>
      <c r="AP187">
        <v>0</v>
      </c>
      <c r="AQ187">
        <v>0</v>
      </c>
      <c r="AR187">
        <v>0</v>
      </c>
      <c r="AS187">
        <v>0</v>
      </c>
      <c r="AT187">
        <v>0</v>
      </c>
      <c r="AU187" t="s">
        <v>242</v>
      </c>
      <c r="AV187" t="s">
        <v>457</v>
      </c>
      <c r="AW187" t="s">
        <v>328</v>
      </c>
      <c r="AX187" t="s">
        <v>458</v>
      </c>
      <c r="AY187">
        <v>77087</v>
      </c>
      <c r="AZ187">
        <v>48201332900</v>
      </c>
      <c r="BA187" t="s">
        <v>329</v>
      </c>
      <c r="BB187" t="s">
        <v>330</v>
      </c>
      <c r="BC187">
        <v>54037</v>
      </c>
      <c r="BD187">
        <v>2892</v>
      </c>
      <c r="BE187" t="s">
        <v>407</v>
      </c>
      <c r="BF187" t="s">
        <v>407</v>
      </c>
      <c r="BG187" t="s">
        <v>407</v>
      </c>
    </row>
    <row r="188" spans="1:59" x14ac:dyDescent="0.3">
      <c r="A188">
        <v>608527</v>
      </c>
      <c r="B188">
        <v>18766836</v>
      </c>
      <c r="C188">
        <v>2022</v>
      </c>
      <c r="D188" s="62">
        <v>44594</v>
      </c>
      <c r="E188">
        <v>17</v>
      </c>
      <c r="F188" t="s">
        <v>405</v>
      </c>
      <c r="G188" t="s">
        <v>319</v>
      </c>
      <c r="H188" t="s">
        <v>453</v>
      </c>
      <c r="I188" t="s">
        <v>419</v>
      </c>
      <c r="J188">
        <v>29.677524819999999</v>
      </c>
      <c r="K188">
        <v>-95.291013109999994</v>
      </c>
      <c r="L188" t="s">
        <v>321</v>
      </c>
      <c r="M188" t="s">
        <v>322</v>
      </c>
      <c r="N188" t="s">
        <v>323</v>
      </c>
      <c r="O188" t="s">
        <v>324</v>
      </c>
      <c r="P188" t="s">
        <v>414</v>
      </c>
      <c r="Q188" t="s">
        <v>278</v>
      </c>
      <c r="R188" t="s">
        <v>438</v>
      </c>
      <c r="S188">
        <v>0</v>
      </c>
      <c r="T188">
        <v>0</v>
      </c>
      <c r="U188">
        <v>0</v>
      </c>
      <c r="V188">
        <v>0</v>
      </c>
      <c r="W188">
        <v>0</v>
      </c>
      <c r="X188">
        <v>1</v>
      </c>
      <c r="Y188">
        <v>1</v>
      </c>
      <c r="Z188">
        <v>0</v>
      </c>
      <c r="AA188">
        <v>0</v>
      </c>
      <c r="AB188">
        <v>0</v>
      </c>
      <c r="AC188">
        <v>0</v>
      </c>
      <c r="AD188">
        <v>1</v>
      </c>
      <c r="AE188">
        <v>0</v>
      </c>
      <c r="AF188">
        <v>1</v>
      </c>
      <c r="AG188">
        <v>0</v>
      </c>
      <c r="AH188">
        <v>0</v>
      </c>
      <c r="AI188">
        <v>0</v>
      </c>
      <c r="AJ188">
        <v>0</v>
      </c>
      <c r="AK188">
        <v>0</v>
      </c>
      <c r="AL188">
        <v>0</v>
      </c>
      <c r="AM188">
        <v>0</v>
      </c>
      <c r="AN188">
        <v>0</v>
      </c>
      <c r="AO188">
        <v>0</v>
      </c>
      <c r="AP188">
        <v>0</v>
      </c>
      <c r="AQ188">
        <v>0</v>
      </c>
      <c r="AR188">
        <v>0</v>
      </c>
      <c r="AS188">
        <v>0</v>
      </c>
      <c r="AT188">
        <v>0</v>
      </c>
      <c r="AU188" t="s">
        <v>242</v>
      </c>
      <c r="AV188" t="s">
        <v>457</v>
      </c>
      <c r="AW188" t="s">
        <v>328</v>
      </c>
      <c r="AX188" t="s">
        <v>458</v>
      </c>
      <c r="AY188">
        <v>77087</v>
      </c>
      <c r="AZ188">
        <v>48201333000</v>
      </c>
      <c r="BA188" t="s">
        <v>329</v>
      </c>
      <c r="BB188" t="s">
        <v>330</v>
      </c>
      <c r="BC188">
        <v>53598</v>
      </c>
      <c r="BD188">
        <v>2840</v>
      </c>
      <c r="BE188" t="s">
        <v>407</v>
      </c>
      <c r="BF188" t="s">
        <v>407</v>
      </c>
      <c r="BG188" t="s">
        <v>407</v>
      </c>
    </row>
    <row r="189" spans="1:59" x14ac:dyDescent="0.3">
      <c r="A189">
        <v>609007</v>
      </c>
      <c r="B189">
        <v>18768371</v>
      </c>
      <c r="C189">
        <v>2022</v>
      </c>
      <c r="D189" s="62">
        <v>44610</v>
      </c>
      <c r="E189">
        <v>16</v>
      </c>
      <c r="F189" t="s">
        <v>418</v>
      </c>
      <c r="G189" t="s">
        <v>319</v>
      </c>
      <c r="H189" t="s">
        <v>469</v>
      </c>
      <c r="I189" t="s">
        <v>437</v>
      </c>
      <c r="J189">
        <v>29.68515481</v>
      </c>
      <c r="K189">
        <v>-95.2962031</v>
      </c>
      <c r="L189" t="s">
        <v>321</v>
      </c>
      <c r="M189" t="s">
        <v>322</v>
      </c>
      <c r="N189" t="s">
        <v>422</v>
      </c>
      <c r="O189" t="s">
        <v>324</v>
      </c>
      <c r="P189" t="s">
        <v>414</v>
      </c>
      <c r="Q189" t="s">
        <v>325</v>
      </c>
      <c r="R189" t="s">
        <v>412</v>
      </c>
      <c r="S189">
        <v>0</v>
      </c>
      <c r="T189">
        <v>0</v>
      </c>
      <c r="U189">
        <v>0</v>
      </c>
      <c r="V189">
        <v>0</v>
      </c>
      <c r="W189">
        <v>0</v>
      </c>
      <c r="X189">
        <v>4</v>
      </c>
      <c r="Y189">
        <v>0</v>
      </c>
      <c r="Z189">
        <v>0</v>
      </c>
      <c r="AA189">
        <v>0</v>
      </c>
      <c r="AB189">
        <v>0</v>
      </c>
      <c r="AC189">
        <v>0</v>
      </c>
      <c r="AD189">
        <v>4</v>
      </c>
      <c r="AE189">
        <v>0</v>
      </c>
      <c r="AF189">
        <v>0</v>
      </c>
      <c r="AG189">
        <v>0</v>
      </c>
      <c r="AH189">
        <v>0</v>
      </c>
      <c r="AI189">
        <v>0</v>
      </c>
      <c r="AJ189">
        <v>0</v>
      </c>
      <c r="AK189">
        <v>0</v>
      </c>
      <c r="AL189">
        <v>0</v>
      </c>
      <c r="AM189">
        <v>0</v>
      </c>
      <c r="AN189">
        <v>0</v>
      </c>
      <c r="AO189">
        <v>0</v>
      </c>
      <c r="AP189">
        <v>0</v>
      </c>
      <c r="AQ189">
        <v>0</v>
      </c>
      <c r="AR189">
        <v>0</v>
      </c>
      <c r="AS189">
        <v>0</v>
      </c>
      <c r="AT189">
        <v>0</v>
      </c>
      <c r="AU189" t="s">
        <v>242</v>
      </c>
      <c r="AV189" t="s">
        <v>457</v>
      </c>
      <c r="AW189" t="s">
        <v>328</v>
      </c>
      <c r="AX189" t="s">
        <v>458</v>
      </c>
      <c r="AY189">
        <v>77087</v>
      </c>
      <c r="AZ189">
        <v>48201332900</v>
      </c>
      <c r="BA189" t="s">
        <v>329</v>
      </c>
      <c r="BB189" t="s">
        <v>330</v>
      </c>
      <c r="BC189">
        <v>53817</v>
      </c>
      <c r="BD189">
        <v>2840</v>
      </c>
      <c r="BE189" t="s">
        <v>407</v>
      </c>
      <c r="BF189" t="s">
        <v>407</v>
      </c>
      <c r="BG189" t="s">
        <v>407</v>
      </c>
    </row>
    <row r="190" spans="1:59" x14ac:dyDescent="0.3">
      <c r="A190">
        <v>609786</v>
      </c>
      <c r="B190">
        <v>18771452</v>
      </c>
      <c r="C190">
        <v>2022</v>
      </c>
      <c r="D190" s="62">
        <v>44604</v>
      </c>
      <c r="E190">
        <v>13</v>
      </c>
      <c r="F190" t="s">
        <v>436</v>
      </c>
      <c r="G190" t="s">
        <v>319</v>
      </c>
      <c r="H190" t="s">
        <v>453</v>
      </c>
      <c r="I190" t="s">
        <v>411</v>
      </c>
      <c r="J190">
        <v>29.691314800000001</v>
      </c>
      <c r="K190">
        <v>-95.298783110000002</v>
      </c>
      <c r="L190" t="s">
        <v>321</v>
      </c>
      <c r="M190" t="s">
        <v>322</v>
      </c>
      <c r="N190" t="s">
        <v>323</v>
      </c>
      <c r="O190" t="s">
        <v>324</v>
      </c>
      <c r="P190" t="s">
        <v>410</v>
      </c>
      <c r="Q190" t="s">
        <v>332</v>
      </c>
      <c r="R190" t="s">
        <v>434</v>
      </c>
      <c r="S190">
        <v>0</v>
      </c>
      <c r="T190">
        <v>0</v>
      </c>
      <c r="U190">
        <v>1</v>
      </c>
      <c r="V190">
        <v>0</v>
      </c>
      <c r="W190">
        <v>1</v>
      </c>
      <c r="X190">
        <v>0</v>
      </c>
      <c r="Y190">
        <v>1</v>
      </c>
      <c r="Z190">
        <v>0</v>
      </c>
      <c r="AA190">
        <v>0</v>
      </c>
      <c r="AB190">
        <v>1</v>
      </c>
      <c r="AC190">
        <v>0</v>
      </c>
      <c r="AD190">
        <v>0</v>
      </c>
      <c r="AE190">
        <v>1</v>
      </c>
      <c r="AF190">
        <v>1</v>
      </c>
      <c r="AG190">
        <v>0</v>
      </c>
      <c r="AH190">
        <v>0</v>
      </c>
      <c r="AI190">
        <v>0</v>
      </c>
      <c r="AJ190">
        <v>0</v>
      </c>
      <c r="AK190">
        <v>0</v>
      </c>
      <c r="AL190">
        <v>0</v>
      </c>
      <c r="AM190">
        <v>0</v>
      </c>
      <c r="AN190">
        <v>0</v>
      </c>
      <c r="AO190">
        <v>0</v>
      </c>
      <c r="AP190">
        <v>0</v>
      </c>
      <c r="AQ190">
        <v>0</v>
      </c>
      <c r="AR190">
        <v>0</v>
      </c>
      <c r="AS190">
        <v>0</v>
      </c>
      <c r="AT190">
        <v>0</v>
      </c>
      <c r="AU190" t="s">
        <v>242</v>
      </c>
      <c r="AV190" t="s">
        <v>457</v>
      </c>
      <c r="AW190" t="s">
        <v>328</v>
      </c>
      <c r="AX190" t="s">
        <v>458</v>
      </c>
      <c r="AY190">
        <v>77087</v>
      </c>
      <c r="AZ190">
        <v>48201332900</v>
      </c>
      <c r="BA190" t="s">
        <v>329</v>
      </c>
      <c r="BB190" t="s">
        <v>330</v>
      </c>
      <c r="BC190">
        <v>54037</v>
      </c>
      <c r="BD190">
        <v>2892</v>
      </c>
      <c r="BE190" t="s">
        <v>407</v>
      </c>
      <c r="BF190" t="s">
        <v>407</v>
      </c>
      <c r="BG190" t="s">
        <v>407</v>
      </c>
    </row>
    <row r="191" spans="1:59" x14ac:dyDescent="0.3">
      <c r="A191">
        <v>612830</v>
      </c>
      <c r="B191">
        <v>18783579</v>
      </c>
      <c r="C191">
        <v>2022</v>
      </c>
      <c r="D191" s="62">
        <v>44624</v>
      </c>
      <c r="E191">
        <v>14</v>
      </c>
      <c r="F191" t="s">
        <v>418</v>
      </c>
      <c r="G191" t="s">
        <v>319</v>
      </c>
      <c r="H191" t="s">
        <v>453</v>
      </c>
      <c r="I191" t="s">
        <v>437</v>
      </c>
      <c r="J191">
        <v>29.693540559999999</v>
      </c>
      <c r="K191">
        <v>-95.299373950000003</v>
      </c>
      <c r="L191" t="s">
        <v>321</v>
      </c>
      <c r="M191" t="s">
        <v>322</v>
      </c>
      <c r="N191" t="s">
        <v>429</v>
      </c>
      <c r="O191" t="s">
        <v>324</v>
      </c>
      <c r="P191" t="s">
        <v>414</v>
      </c>
      <c r="Q191" t="s">
        <v>278</v>
      </c>
      <c r="R191" t="s">
        <v>505</v>
      </c>
      <c r="S191">
        <v>0</v>
      </c>
      <c r="T191">
        <v>0</v>
      </c>
      <c r="U191">
        <v>0</v>
      </c>
      <c r="V191">
        <v>0</v>
      </c>
      <c r="W191">
        <v>0</v>
      </c>
      <c r="X191">
        <v>2</v>
      </c>
      <c r="Y191">
        <v>0</v>
      </c>
      <c r="Z191">
        <v>0</v>
      </c>
      <c r="AA191">
        <v>0</v>
      </c>
      <c r="AB191">
        <v>0</v>
      </c>
      <c r="AC191">
        <v>0</v>
      </c>
      <c r="AD191">
        <v>2</v>
      </c>
      <c r="AE191">
        <v>0</v>
      </c>
      <c r="AF191">
        <v>0</v>
      </c>
      <c r="AG191">
        <v>0</v>
      </c>
      <c r="AH191">
        <v>0</v>
      </c>
      <c r="AI191">
        <v>0</v>
      </c>
      <c r="AJ191">
        <v>0</v>
      </c>
      <c r="AK191">
        <v>0</v>
      </c>
      <c r="AL191">
        <v>0</v>
      </c>
      <c r="AM191">
        <v>0</v>
      </c>
      <c r="AN191">
        <v>0</v>
      </c>
      <c r="AO191">
        <v>0</v>
      </c>
      <c r="AP191">
        <v>0</v>
      </c>
      <c r="AQ191">
        <v>0</v>
      </c>
      <c r="AR191">
        <v>0</v>
      </c>
      <c r="AS191">
        <v>0</v>
      </c>
      <c r="AT191">
        <v>0</v>
      </c>
      <c r="AU191" t="s">
        <v>242</v>
      </c>
      <c r="AV191" t="s">
        <v>457</v>
      </c>
      <c r="AW191" t="s">
        <v>328</v>
      </c>
      <c r="AX191" t="s">
        <v>458</v>
      </c>
      <c r="AY191">
        <v>77087</v>
      </c>
      <c r="AZ191">
        <v>48201332900</v>
      </c>
      <c r="BA191" t="s">
        <v>329</v>
      </c>
      <c r="BB191" t="s">
        <v>330</v>
      </c>
      <c r="BC191">
        <v>54257</v>
      </c>
      <c r="BD191">
        <v>2892</v>
      </c>
      <c r="BE191" t="s">
        <v>407</v>
      </c>
      <c r="BF191" t="s">
        <v>407</v>
      </c>
      <c r="BG191" t="s">
        <v>407</v>
      </c>
    </row>
    <row r="192" spans="1:59" x14ac:dyDescent="0.3">
      <c r="A192">
        <v>619952</v>
      </c>
      <c r="B192">
        <v>18810730</v>
      </c>
      <c r="C192">
        <v>2022</v>
      </c>
      <c r="D192" s="62">
        <v>44641</v>
      </c>
      <c r="E192">
        <v>5</v>
      </c>
      <c r="F192" t="s">
        <v>417</v>
      </c>
      <c r="G192" t="s">
        <v>319</v>
      </c>
      <c r="H192" t="s">
        <v>453</v>
      </c>
      <c r="I192" t="s">
        <v>419</v>
      </c>
      <c r="J192">
        <v>29.690484810000001</v>
      </c>
      <c r="K192">
        <v>-95.298763109999996</v>
      </c>
      <c r="L192" t="s">
        <v>430</v>
      </c>
      <c r="M192" t="s">
        <v>431</v>
      </c>
      <c r="N192" t="s">
        <v>448</v>
      </c>
      <c r="O192" t="s">
        <v>324</v>
      </c>
      <c r="P192" t="s">
        <v>414</v>
      </c>
      <c r="Q192" t="s">
        <v>331</v>
      </c>
      <c r="R192" t="s">
        <v>472</v>
      </c>
      <c r="S192">
        <v>0</v>
      </c>
      <c r="T192">
        <v>0</v>
      </c>
      <c r="U192">
        <v>0</v>
      </c>
      <c r="V192">
        <v>0</v>
      </c>
      <c r="W192">
        <v>0</v>
      </c>
      <c r="X192">
        <v>3</v>
      </c>
      <c r="Y192">
        <v>1</v>
      </c>
      <c r="Z192">
        <v>0</v>
      </c>
      <c r="AA192">
        <v>0</v>
      </c>
      <c r="AB192">
        <v>0</v>
      </c>
      <c r="AC192">
        <v>0</v>
      </c>
      <c r="AD192">
        <v>3</v>
      </c>
      <c r="AE192">
        <v>0</v>
      </c>
      <c r="AF192">
        <v>1</v>
      </c>
      <c r="AG192">
        <v>0</v>
      </c>
      <c r="AH192">
        <v>0</v>
      </c>
      <c r="AI192">
        <v>0</v>
      </c>
      <c r="AJ192">
        <v>0</v>
      </c>
      <c r="AK192">
        <v>0</v>
      </c>
      <c r="AL192">
        <v>0</v>
      </c>
      <c r="AM192">
        <v>0</v>
      </c>
      <c r="AN192">
        <v>0</v>
      </c>
      <c r="AO192">
        <v>0</v>
      </c>
      <c r="AP192">
        <v>0</v>
      </c>
      <c r="AQ192">
        <v>0</v>
      </c>
      <c r="AR192">
        <v>0</v>
      </c>
      <c r="AS192">
        <v>0</v>
      </c>
      <c r="AT192">
        <v>0</v>
      </c>
      <c r="AU192" t="s">
        <v>242</v>
      </c>
      <c r="AV192" t="s">
        <v>457</v>
      </c>
      <c r="AW192" t="s">
        <v>328</v>
      </c>
      <c r="AX192" t="s">
        <v>458</v>
      </c>
      <c r="AY192">
        <v>77087</v>
      </c>
      <c r="AZ192">
        <v>48201332900</v>
      </c>
      <c r="BA192" t="s">
        <v>329</v>
      </c>
      <c r="BB192" t="s">
        <v>330</v>
      </c>
      <c r="BC192">
        <v>54037</v>
      </c>
      <c r="BD192">
        <v>2892</v>
      </c>
      <c r="BE192" t="s">
        <v>407</v>
      </c>
      <c r="BF192" t="s">
        <v>407</v>
      </c>
      <c r="BG192" t="s">
        <v>407</v>
      </c>
    </row>
    <row r="193" spans="1:59" x14ac:dyDescent="0.3">
      <c r="A193">
        <v>621888</v>
      </c>
      <c r="B193">
        <v>18818462</v>
      </c>
      <c r="C193">
        <v>2022</v>
      </c>
      <c r="D193" s="62">
        <v>44644</v>
      </c>
      <c r="E193">
        <v>6</v>
      </c>
      <c r="F193" t="s">
        <v>425</v>
      </c>
      <c r="G193" t="s">
        <v>319</v>
      </c>
      <c r="H193" t="s">
        <v>453</v>
      </c>
      <c r="I193" t="s">
        <v>437</v>
      </c>
      <c r="J193">
        <v>29.69351481</v>
      </c>
      <c r="K193">
        <v>-95.299363110000002</v>
      </c>
      <c r="L193" t="s">
        <v>321</v>
      </c>
      <c r="M193" t="s">
        <v>322</v>
      </c>
      <c r="N193" t="s">
        <v>429</v>
      </c>
      <c r="O193" t="s">
        <v>324</v>
      </c>
      <c r="P193" t="s">
        <v>414</v>
      </c>
      <c r="Q193" t="s">
        <v>278</v>
      </c>
      <c r="R193" t="s">
        <v>406</v>
      </c>
      <c r="S193">
        <v>0</v>
      </c>
      <c r="T193">
        <v>0</v>
      </c>
      <c r="U193">
        <v>0</v>
      </c>
      <c r="V193">
        <v>0</v>
      </c>
      <c r="W193">
        <v>0</v>
      </c>
      <c r="X193">
        <v>3</v>
      </c>
      <c r="Y193">
        <v>0</v>
      </c>
      <c r="Z193">
        <v>0</v>
      </c>
      <c r="AA193">
        <v>0</v>
      </c>
      <c r="AB193">
        <v>0</v>
      </c>
      <c r="AC193">
        <v>0</v>
      </c>
      <c r="AD193">
        <v>3</v>
      </c>
      <c r="AE193">
        <v>0</v>
      </c>
      <c r="AF193">
        <v>0</v>
      </c>
      <c r="AG193">
        <v>0</v>
      </c>
      <c r="AH193">
        <v>0</v>
      </c>
      <c r="AI193">
        <v>0</v>
      </c>
      <c r="AJ193">
        <v>0</v>
      </c>
      <c r="AK193">
        <v>0</v>
      </c>
      <c r="AL193">
        <v>0</v>
      </c>
      <c r="AM193">
        <v>0</v>
      </c>
      <c r="AN193">
        <v>0</v>
      </c>
      <c r="AO193">
        <v>0</v>
      </c>
      <c r="AP193">
        <v>0</v>
      </c>
      <c r="AQ193">
        <v>0</v>
      </c>
      <c r="AR193">
        <v>0</v>
      </c>
      <c r="AS193">
        <v>0</v>
      </c>
      <c r="AT193">
        <v>0</v>
      </c>
      <c r="AU193" t="s">
        <v>242</v>
      </c>
      <c r="AV193" t="s">
        <v>457</v>
      </c>
      <c r="AW193" t="s">
        <v>328</v>
      </c>
      <c r="AX193" t="s">
        <v>458</v>
      </c>
      <c r="AY193">
        <v>77087</v>
      </c>
      <c r="AZ193">
        <v>48201332900</v>
      </c>
      <c r="BA193" t="s">
        <v>329</v>
      </c>
      <c r="BB193" t="s">
        <v>330</v>
      </c>
      <c r="BC193">
        <v>54257</v>
      </c>
      <c r="BD193">
        <v>2892</v>
      </c>
      <c r="BE193" t="s">
        <v>407</v>
      </c>
      <c r="BF193" t="s">
        <v>407</v>
      </c>
      <c r="BG193" t="s">
        <v>407</v>
      </c>
    </row>
    <row r="194" spans="1:59" x14ac:dyDescent="0.3">
      <c r="A194">
        <v>621889</v>
      </c>
      <c r="B194">
        <v>18818466</v>
      </c>
      <c r="C194">
        <v>2022</v>
      </c>
      <c r="D194" s="62">
        <v>44620</v>
      </c>
      <c r="E194">
        <v>7</v>
      </c>
      <c r="F194" t="s">
        <v>417</v>
      </c>
      <c r="G194" t="s">
        <v>319</v>
      </c>
      <c r="H194" t="s">
        <v>453</v>
      </c>
      <c r="I194" t="s">
        <v>411</v>
      </c>
      <c r="J194">
        <v>29.691314810000002</v>
      </c>
      <c r="K194">
        <v>-95.298783110000002</v>
      </c>
      <c r="L194" t="s">
        <v>321</v>
      </c>
      <c r="M194" t="s">
        <v>322</v>
      </c>
      <c r="N194" t="s">
        <v>429</v>
      </c>
      <c r="O194" t="s">
        <v>324</v>
      </c>
      <c r="P194" t="s">
        <v>414</v>
      </c>
      <c r="Q194" t="s">
        <v>331</v>
      </c>
      <c r="R194" t="s">
        <v>447</v>
      </c>
      <c r="S194">
        <v>0</v>
      </c>
      <c r="T194">
        <v>0</v>
      </c>
      <c r="U194">
        <v>0</v>
      </c>
      <c r="V194">
        <v>0</v>
      </c>
      <c r="W194">
        <v>0</v>
      </c>
      <c r="X194">
        <v>2</v>
      </c>
      <c r="Y194">
        <v>0</v>
      </c>
      <c r="Z194">
        <v>0</v>
      </c>
      <c r="AA194">
        <v>0</v>
      </c>
      <c r="AB194">
        <v>0</v>
      </c>
      <c r="AC194">
        <v>0</v>
      </c>
      <c r="AD194">
        <v>2</v>
      </c>
      <c r="AE194">
        <v>0</v>
      </c>
      <c r="AF194">
        <v>0</v>
      </c>
      <c r="AG194">
        <v>0</v>
      </c>
      <c r="AH194">
        <v>0</v>
      </c>
      <c r="AI194">
        <v>0</v>
      </c>
      <c r="AJ194">
        <v>0</v>
      </c>
      <c r="AK194">
        <v>0</v>
      </c>
      <c r="AL194">
        <v>0</v>
      </c>
      <c r="AM194">
        <v>0</v>
      </c>
      <c r="AN194">
        <v>0</v>
      </c>
      <c r="AO194">
        <v>0</v>
      </c>
      <c r="AP194">
        <v>0</v>
      </c>
      <c r="AQ194">
        <v>0</v>
      </c>
      <c r="AR194">
        <v>0</v>
      </c>
      <c r="AS194">
        <v>0</v>
      </c>
      <c r="AT194">
        <v>0</v>
      </c>
      <c r="AU194" t="s">
        <v>242</v>
      </c>
      <c r="AV194" t="s">
        <v>457</v>
      </c>
      <c r="AW194" t="s">
        <v>328</v>
      </c>
      <c r="AX194" t="s">
        <v>458</v>
      </c>
      <c r="AY194">
        <v>77087</v>
      </c>
      <c r="AZ194">
        <v>48201332900</v>
      </c>
      <c r="BA194" t="s">
        <v>329</v>
      </c>
      <c r="BB194" t="s">
        <v>330</v>
      </c>
      <c r="BC194">
        <v>54037</v>
      </c>
      <c r="BD194">
        <v>2892</v>
      </c>
      <c r="BE194" t="s">
        <v>407</v>
      </c>
      <c r="BF194" t="s">
        <v>407</v>
      </c>
      <c r="BG194" t="s">
        <v>407</v>
      </c>
    </row>
    <row r="195" spans="1:59" x14ac:dyDescent="0.3">
      <c r="A195">
        <v>625561</v>
      </c>
      <c r="B195">
        <v>18833066</v>
      </c>
      <c r="C195">
        <v>2022</v>
      </c>
      <c r="D195" s="62">
        <v>44652</v>
      </c>
      <c r="E195">
        <v>16</v>
      </c>
      <c r="F195" t="s">
        <v>418</v>
      </c>
      <c r="G195" t="s">
        <v>319</v>
      </c>
      <c r="H195" t="s">
        <v>453</v>
      </c>
      <c r="I195" t="s">
        <v>411</v>
      </c>
      <c r="J195">
        <v>29.691314810000002</v>
      </c>
      <c r="K195">
        <v>-95.298783110000002</v>
      </c>
      <c r="L195" t="s">
        <v>321</v>
      </c>
      <c r="M195" t="s">
        <v>322</v>
      </c>
      <c r="N195" t="s">
        <v>323</v>
      </c>
      <c r="O195" t="s">
        <v>324</v>
      </c>
      <c r="P195" t="s">
        <v>283</v>
      </c>
      <c r="Q195" t="s">
        <v>331</v>
      </c>
      <c r="R195" t="s">
        <v>426</v>
      </c>
      <c r="S195">
        <v>0</v>
      </c>
      <c r="T195">
        <v>0</v>
      </c>
      <c r="U195">
        <v>0</v>
      </c>
      <c r="V195">
        <v>1</v>
      </c>
      <c r="W195">
        <v>1</v>
      </c>
      <c r="X195">
        <v>0</v>
      </c>
      <c r="Y195">
        <v>1</v>
      </c>
      <c r="Z195">
        <v>0</v>
      </c>
      <c r="AA195">
        <v>0</v>
      </c>
      <c r="AB195">
        <v>0</v>
      </c>
      <c r="AC195">
        <v>1</v>
      </c>
      <c r="AD195">
        <v>0</v>
      </c>
      <c r="AE195">
        <v>1</v>
      </c>
      <c r="AF195">
        <v>1</v>
      </c>
      <c r="AG195">
        <v>0</v>
      </c>
      <c r="AH195">
        <v>0</v>
      </c>
      <c r="AI195">
        <v>0</v>
      </c>
      <c r="AJ195">
        <v>0</v>
      </c>
      <c r="AK195">
        <v>0</v>
      </c>
      <c r="AL195">
        <v>0</v>
      </c>
      <c r="AM195">
        <v>0</v>
      </c>
      <c r="AN195">
        <v>0</v>
      </c>
      <c r="AO195">
        <v>0</v>
      </c>
      <c r="AP195">
        <v>0</v>
      </c>
      <c r="AQ195">
        <v>0</v>
      </c>
      <c r="AR195">
        <v>0</v>
      </c>
      <c r="AS195">
        <v>0</v>
      </c>
      <c r="AT195">
        <v>0</v>
      </c>
      <c r="AU195" t="s">
        <v>242</v>
      </c>
      <c r="AV195" t="s">
        <v>457</v>
      </c>
      <c r="AW195" t="s">
        <v>328</v>
      </c>
      <c r="AX195" t="s">
        <v>458</v>
      </c>
      <c r="AY195">
        <v>77087</v>
      </c>
      <c r="AZ195">
        <v>48201332900</v>
      </c>
      <c r="BA195" t="s">
        <v>329</v>
      </c>
      <c r="BB195" t="s">
        <v>330</v>
      </c>
      <c r="BC195">
        <v>54037</v>
      </c>
      <c r="BD195">
        <v>2892</v>
      </c>
      <c r="BE195" t="s">
        <v>407</v>
      </c>
      <c r="BF195" t="s">
        <v>407</v>
      </c>
      <c r="BG195" t="s">
        <v>407</v>
      </c>
    </row>
    <row r="196" spans="1:59" x14ac:dyDescent="0.3">
      <c r="A196">
        <v>628480</v>
      </c>
      <c r="B196">
        <v>18844116</v>
      </c>
      <c r="C196">
        <v>2022</v>
      </c>
      <c r="D196" s="62">
        <v>44661</v>
      </c>
      <c r="E196">
        <v>15</v>
      </c>
      <c r="F196" t="s">
        <v>408</v>
      </c>
      <c r="G196" t="s">
        <v>319</v>
      </c>
      <c r="H196" t="s">
        <v>453</v>
      </c>
      <c r="I196" t="s">
        <v>437</v>
      </c>
      <c r="J196">
        <v>29.694028939999999</v>
      </c>
      <c r="K196">
        <v>-95.29958216</v>
      </c>
      <c r="L196" t="s">
        <v>321</v>
      </c>
      <c r="M196" t="s">
        <v>322</v>
      </c>
      <c r="N196" t="s">
        <v>323</v>
      </c>
      <c r="O196" t="s">
        <v>324</v>
      </c>
      <c r="P196" t="s">
        <v>283</v>
      </c>
      <c r="Q196" t="s">
        <v>332</v>
      </c>
      <c r="R196" t="s">
        <v>426</v>
      </c>
      <c r="S196">
        <v>0</v>
      </c>
      <c r="T196">
        <v>0</v>
      </c>
      <c r="U196">
        <v>0</v>
      </c>
      <c r="V196">
        <v>1</v>
      </c>
      <c r="W196">
        <v>1</v>
      </c>
      <c r="X196">
        <v>2</v>
      </c>
      <c r="Y196">
        <v>0</v>
      </c>
      <c r="Z196">
        <v>0</v>
      </c>
      <c r="AA196">
        <v>0</v>
      </c>
      <c r="AB196">
        <v>0</v>
      </c>
      <c r="AC196">
        <v>1</v>
      </c>
      <c r="AD196">
        <v>2</v>
      </c>
      <c r="AE196">
        <v>1</v>
      </c>
      <c r="AF196">
        <v>0</v>
      </c>
      <c r="AG196">
        <v>0</v>
      </c>
      <c r="AH196">
        <v>0</v>
      </c>
      <c r="AI196">
        <v>0</v>
      </c>
      <c r="AJ196">
        <v>0</v>
      </c>
      <c r="AK196">
        <v>0</v>
      </c>
      <c r="AL196">
        <v>0</v>
      </c>
      <c r="AM196">
        <v>0</v>
      </c>
      <c r="AN196">
        <v>0</v>
      </c>
      <c r="AO196">
        <v>0</v>
      </c>
      <c r="AP196">
        <v>0</v>
      </c>
      <c r="AQ196">
        <v>0</v>
      </c>
      <c r="AR196">
        <v>0</v>
      </c>
      <c r="AS196">
        <v>0</v>
      </c>
      <c r="AT196">
        <v>0</v>
      </c>
      <c r="AU196" t="s">
        <v>242</v>
      </c>
      <c r="AV196" t="s">
        <v>457</v>
      </c>
      <c r="AW196" t="s">
        <v>328</v>
      </c>
      <c r="AX196" t="s">
        <v>458</v>
      </c>
      <c r="AY196">
        <v>77087</v>
      </c>
      <c r="AZ196">
        <v>48201332900</v>
      </c>
      <c r="BA196" t="s">
        <v>329</v>
      </c>
      <c r="BB196" t="s">
        <v>330</v>
      </c>
      <c r="BC196">
        <v>54257</v>
      </c>
      <c r="BD196">
        <v>2892</v>
      </c>
      <c r="BE196" t="s">
        <v>407</v>
      </c>
      <c r="BF196" t="s">
        <v>407</v>
      </c>
      <c r="BG196" t="s">
        <v>407</v>
      </c>
    </row>
    <row r="197" spans="1:59" x14ac:dyDescent="0.3">
      <c r="A197">
        <v>633656</v>
      </c>
      <c r="B197">
        <v>18865350</v>
      </c>
      <c r="C197">
        <v>2022</v>
      </c>
      <c r="D197" s="62">
        <v>44669</v>
      </c>
      <c r="E197">
        <v>19</v>
      </c>
      <c r="F197" t="s">
        <v>417</v>
      </c>
      <c r="G197" t="s">
        <v>319</v>
      </c>
      <c r="H197" t="s">
        <v>453</v>
      </c>
      <c r="I197" t="s">
        <v>437</v>
      </c>
      <c r="J197">
        <v>29.695344810000002</v>
      </c>
      <c r="K197">
        <v>-95.300293109999998</v>
      </c>
      <c r="L197" t="s">
        <v>321</v>
      </c>
      <c r="M197" t="s">
        <v>322</v>
      </c>
      <c r="N197" t="s">
        <v>429</v>
      </c>
      <c r="O197" t="s">
        <v>324</v>
      </c>
      <c r="P197" t="s">
        <v>414</v>
      </c>
      <c r="Q197" t="s">
        <v>331</v>
      </c>
      <c r="R197" t="s">
        <v>426</v>
      </c>
      <c r="S197">
        <v>0</v>
      </c>
      <c r="T197">
        <v>0</v>
      </c>
      <c r="U197">
        <v>0</v>
      </c>
      <c r="V197">
        <v>0</v>
      </c>
      <c r="W197">
        <v>0</v>
      </c>
      <c r="X197">
        <v>2</v>
      </c>
      <c r="Y197">
        <v>0</v>
      </c>
      <c r="Z197">
        <v>0</v>
      </c>
      <c r="AA197">
        <v>0</v>
      </c>
      <c r="AB197">
        <v>0</v>
      </c>
      <c r="AC197">
        <v>0</v>
      </c>
      <c r="AD197">
        <v>2</v>
      </c>
      <c r="AE197">
        <v>0</v>
      </c>
      <c r="AF197">
        <v>0</v>
      </c>
      <c r="AG197">
        <v>0</v>
      </c>
      <c r="AH197">
        <v>0</v>
      </c>
      <c r="AI197">
        <v>0</v>
      </c>
      <c r="AJ197">
        <v>0</v>
      </c>
      <c r="AK197">
        <v>0</v>
      </c>
      <c r="AL197">
        <v>0</v>
      </c>
      <c r="AM197">
        <v>0</v>
      </c>
      <c r="AN197">
        <v>0</v>
      </c>
      <c r="AO197">
        <v>0</v>
      </c>
      <c r="AP197">
        <v>0</v>
      </c>
      <c r="AQ197">
        <v>0</v>
      </c>
      <c r="AR197">
        <v>0</v>
      </c>
      <c r="AS197">
        <v>0</v>
      </c>
      <c r="AT197">
        <v>0</v>
      </c>
      <c r="AU197" t="s">
        <v>242</v>
      </c>
      <c r="AV197" t="s">
        <v>457</v>
      </c>
      <c r="AW197" t="s">
        <v>328</v>
      </c>
      <c r="AX197" t="s">
        <v>458</v>
      </c>
      <c r="AY197">
        <v>77087</v>
      </c>
      <c r="AZ197">
        <v>48201332800</v>
      </c>
      <c r="BA197" t="s">
        <v>329</v>
      </c>
      <c r="BB197" t="s">
        <v>330</v>
      </c>
      <c r="BC197">
        <v>54257</v>
      </c>
      <c r="BD197">
        <v>2892</v>
      </c>
      <c r="BE197" t="s">
        <v>407</v>
      </c>
      <c r="BF197" t="s">
        <v>407</v>
      </c>
      <c r="BG197" t="s">
        <v>407</v>
      </c>
    </row>
    <row r="198" spans="1:59" x14ac:dyDescent="0.3">
      <c r="A198">
        <v>637283</v>
      </c>
      <c r="B198">
        <v>18879659</v>
      </c>
      <c r="C198">
        <v>2022</v>
      </c>
      <c r="D198" s="62">
        <v>44680</v>
      </c>
      <c r="E198">
        <v>7</v>
      </c>
      <c r="F198" t="s">
        <v>418</v>
      </c>
      <c r="G198" t="s">
        <v>319</v>
      </c>
      <c r="H198" t="s">
        <v>453</v>
      </c>
      <c r="I198" t="s">
        <v>419</v>
      </c>
      <c r="J198">
        <v>29.680414819999999</v>
      </c>
      <c r="K198">
        <v>-95.293353109999998</v>
      </c>
      <c r="L198" t="s">
        <v>321</v>
      </c>
      <c r="M198" t="s">
        <v>322</v>
      </c>
      <c r="N198" t="s">
        <v>448</v>
      </c>
      <c r="O198" t="s">
        <v>324</v>
      </c>
      <c r="P198" t="s">
        <v>414</v>
      </c>
      <c r="Q198" t="s">
        <v>331</v>
      </c>
      <c r="R198" t="s">
        <v>472</v>
      </c>
      <c r="S198">
        <v>0</v>
      </c>
      <c r="T198">
        <v>0</v>
      </c>
      <c r="U198">
        <v>0</v>
      </c>
      <c r="V198">
        <v>0</v>
      </c>
      <c r="W198">
        <v>0</v>
      </c>
      <c r="X198">
        <v>2</v>
      </c>
      <c r="Y198">
        <v>0</v>
      </c>
      <c r="Z198">
        <v>0</v>
      </c>
      <c r="AA198">
        <v>0</v>
      </c>
      <c r="AB198">
        <v>0</v>
      </c>
      <c r="AC198">
        <v>0</v>
      </c>
      <c r="AD198">
        <v>2</v>
      </c>
      <c r="AE198">
        <v>0</v>
      </c>
      <c r="AF198">
        <v>0</v>
      </c>
      <c r="AG198">
        <v>0</v>
      </c>
      <c r="AH198">
        <v>0</v>
      </c>
      <c r="AI198">
        <v>0</v>
      </c>
      <c r="AJ198">
        <v>0</v>
      </c>
      <c r="AK198">
        <v>0</v>
      </c>
      <c r="AL198">
        <v>0</v>
      </c>
      <c r="AM198">
        <v>0</v>
      </c>
      <c r="AN198">
        <v>0</v>
      </c>
      <c r="AO198">
        <v>0</v>
      </c>
      <c r="AP198">
        <v>0</v>
      </c>
      <c r="AQ198">
        <v>0</v>
      </c>
      <c r="AR198">
        <v>0</v>
      </c>
      <c r="AS198">
        <v>0</v>
      </c>
      <c r="AT198">
        <v>0</v>
      </c>
      <c r="AU198" t="s">
        <v>242</v>
      </c>
      <c r="AV198" t="s">
        <v>327</v>
      </c>
      <c r="AW198" t="s">
        <v>328</v>
      </c>
      <c r="AX198" t="s">
        <v>458</v>
      </c>
      <c r="AY198">
        <v>77087</v>
      </c>
      <c r="AZ198">
        <v>48201332600</v>
      </c>
      <c r="BA198" t="s">
        <v>329</v>
      </c>
      <c r="BB198" t="s">
        <v>330</v>
      </c>
      <c r="BC198">
        <v>158977</v>
      </c>
      <c r="BD198">
        <v>2840</v>
      </c>
      <c r="BE198" t="s">
        <v>407</v>
      </c>
      <c r="BF198" t="s">
        <v>407</v>
      </c>
      <c r="BG198" t="s">
        <v>407</v>
      </c>
    </row>
    <row r="199" spans="1:59" x14ac:dyDescent="0.3">
      <c r="A199">
        <v>645503</v>
      </c>
      <c r="B199">
        <v>18912217</v>
      </c>
      <c r="C199">
        <v>2022</v>
      </c>
      <c r="D199" s="62">
        <v>44697</v>
      </c>
      <c r="E199">
        <v>17</v>
      </c>
      <c r="F199" t="s">
        <v>417</v>
      </c>
      <c r="G199" t="s">
        <v>319</v>
      </c>
      <c r="H199" t="s">
        <v>453</v>
      </c>
      <c r="I199" t="s">
        <v>419</v>
      </c>
      <c r="J199">
        <v>29.689567449999998</v>
      </c>
      <c r="K199">
        <v>-95.298741160000006</v>
      </c>
      <c r="L199" t="s">
        <v>321</v>
      </c>
      <c r="M199" t="s">
        <v>322</v>
      </c>
      <c r="N199" t="s">
        <v>323</v>
      </c>
      <c r="O199" t="s">
        <v>324</v>
      </c>
      <c r="P199" t="s">
        <v>283</v>
      </c>
      <c r="Q199" t="s">
        <v>331</v>
      </c>
      <c r="R199" t="s">
        <v>326</v>
      </c>
      <c r="S199">
        <v>0</v>
      </c>
      <c r="T199">
        <v>0</v>
      </c>
      <c r="U199">
        <v>0</v>
      </c>
      <c r="V199">
        <v>1</v>
      </c>
      <c r="W199">
        <v>1</v>
      </c>
      <c r="X199">
        <v>0</v>
      </c>
      <c r="Y199">
        <v>1</v>
      </c>
      <c r="Z199">
        <v>0</v>
      </c>
      <c r="AA199">
        <v>0</v>
      </c>
      <c r="AB199">
        <v>0</v>
      </c>
      <c r="AC199">
        <v>1</v>
      </c>
      <c r="AD199">
        <v>0</v>
      </c>
      <c r="AE199">
        <v>1</v>
      </c>
      <c r="AF199">
        <v>1</v>
      </c>
      <c r="AG199">
        <v>0</v>
      </c>
      <c r="AH199">
        <v>0</v>
      </c>
      <c r="AI199">
        <v>0</v>
      </c>
      <c r="AJ199">
        <v>0</v>
      </c>
      <c r="AK199">
        <v>0</v>
      </c>
      <c r="AL199">
        <v>0</v>
      </c>
      <c r="AM199">
        <v>0</v>
      </c>
      <c r="AN199">
        <v>0</v>
      </c>
      <c r="AO199">
        <v>0</v>
      </c>
      <c r="AP199">
        <v>0</v>
      </c>
      <c r="AQ199">
        <v>0</v>
      </c>
      <c r="AR199">
        <v>0</v>
      </c>
      <c r="AS199">
        <v>0</v>
      </c>
      <c r="AT199">
        <v>0</v>
      </c>
      <c r="AU199" t="s">
        <v>242</v>
      </c>
      <c r="AV199" t="s">
        <v>457</v>
      </c>
      <c r="AW199" t="s">
        <v>328</v>
      </c>
      <c r="AX199" t="s">
        <v>458</v>
      </c>
      <c r="AY199">
        <v>77087</v>
      </c>
      <c r="AZ199">
        <v>48201332900</v>
      </c>
      <c r="BA199" t="s">
        <v>329</v>
      </c>
      <c r="BB199" t="s">
        <v>330</v>
      </c>
      <c r="BC199">
        <v>54037</v>
      </c>
      <c r="BD199">
        <v>2892</v>
      </c>
      <c r="BE199" t="s">
        <v>407</v>
      </c>
      <c r="BF199" t="s">
        <v>407</v>
      </c>
      <c r="BG199" t="s">
        <v>407</v>
      </c>
    </row>
    <row r="200" spans="1:59" x14ac:dyDescent="0.3">
      <c r="A200">
        <v>649988</v>
      </c>
      <c r="B200">
        <v>18931027</v>
      </c>
      <c r="C200">
        <v>2022</v>
      </c>
      <c r="D200" s="62">
        <v>44705</v>
      </c>
      <c r="E200">
        <v>12</v>
      </c>
      <c r="F200" t="s">
        <v>318</v>
      </c>
      <c r="G200" t="s">
        <v>319</v>
      </c>
      <c r="H200" t="s">
        <v>453</v>
      </c>
      <c r="I200" t="s">
        <v>423</v>
      </c>
      <c r="J200">
        <v>29.691314810000002</v>
      </c>
      <c r="K200">
        <v>-95.298783110000002</v>
      </c>
      <c r="L200" t="s">
        <v>420</v>
      </c>
      <c r="M200" t="s">
        <v>322</v>
      </c>
      <c r="N200" t="s">
        <v>429</v>
      </c>
      <c r="O200" t="s">
        <v>324</v>
      </c>
      <c r="P200" t="s">
        <v>414</v>
      </c>
      <c r="Q200" t="s">
        <v>331</v>
      </c>
      <c r="R200" t="s">
        <v>433</v>
      </c>
      <c r="S200">
        <v>0</v>
      </c>
      <c r="T200">
        <v>0</v>
      </c>
      <c r="U200">
        <v>0</v>
      </c>
      <c r="V200">
        <v>0</v>
      </c>
      <c r="W200">
        <v>0</v>
      </c>
      <c r="X200">
        <v>2</v>
      </c>
      <c r="Y200">
        <v>0</v>
      </c>
      <c r="Z200">
        <v>0</v>
      </c>
      <c r="AA200">
        <v>0</v>
      </c>
      <c r="AB200">
        <v>0</v>
      </c>
      <c r="AC200">
        <v>0</v>
      </c>
      <c r="AD200">
        <v>2</v>
      </c>
      <c r="AE200">
        <v>0</v>
      </c>
      <c r="AF200">
        <v>0</v>
      </c>
      <c r="AG200">
        <v>0</v>
      </c>
      <c r="AH200">
        <v>0</v>
      </c>
      <c r="AI200">
        <v>0</v>
      </c>
      <c r="AJ200">
        <v>0</v>
      </c>
      <c r="AK200">
        <v>0</v>
      </c>
      <c r="AL200">
        <v>0</v>
      </c>
      <c r="AM200">
        <v>0</v>
      </c>
      <c r="AN200">
        <v>0</v>
      </c>
      <c r="AO200">
        <v>0</v>
      </c>
      <c r="AP200">
        <v>0</v>
      </c>
      <c r="AQ200">
        <v>0</v>
      </c>
      <c r="AR200">
        <v>0</v>
      </c>
      <c r="AS200">
        <v>0</v>
      </c>
      <c r="AT200">
        <v>0</v>
      </c>
      <c r="AU200" t="s">
        <v>242</v>
      </c>
      <c r="AV200" t="s">
        <v>457</v>
      </c>
      <c r="AW200" t="s">
        <v>328</v>
      </c>
      <c r="AX200" t="s">
        <v>458</v>
      </c>
      <c r="AY200">
        <v>77087</v>
      </c>
      <c r="AZ200">
        <v>48201332900</v>
      </c>
      <c r="BA200" t="s">
        <v>329</v>
      </c>
      <c r="BB200" t="s">
        <v>330</v>
      </c>
      <c r="BC200">
        <v>54037</v>
      </c>
      <c r="BD200">
        <v>2892</v>
      </c>
      <c r="BE200" t="s">
        <v>407</v>
      </c>
      <c r="BF200" t="s">
        <v>407</v>
      </c>
      <c r="BG200" t="s">
        <v>407</v>
      </c>
    </row>
    <row r="201" spans="1:59" x14ac:dyDescent="0.3">
      <c r="A201">
        <v>650858</v>
      </c>
      <c r="B201">
        <v>18933881</v>
      </c>
      <c r="C201">
        <v>2022</v>
      </c>
      <c r="D201" s="62">
        <v>44709</v>
      </c>
      <c r="E201">
        <v>20</v>
      </c>
      <c r="F201" t="s">
        <v>436</v>
      </c>
      <c r="G201" t="s">
        <v>319</v>
      </c>
      <c r="H201" t="s">
        <v>453</v>
      </c>
      <c r="I201" t="s">
        <v>411</v>
      </c>
      <c r="J201">
        <v>29.68872481</v>
      </c>
      <c r="K201">
        <v>-95.298763109999996</v>
      </c>
      <c r="L201" t="s">
        <v>321</v>
      </c>
      <c r="M201" t="s">
        <v>431</v>
      </c>
      <c r="N201" t="s">
        <v>448</v>
      </c>
      <c r="O201" t="s">
        <v>324</v>
      </c>
      <c r="P201" t="s">
        <v>283</v>
      </c>
      <c r="Q201" t="s">
        <v>331</v>
      </c>
      <c r="R201" t="s">
        <v>426</v>
      </c>
      <c r="S201">
        <v>0</v>
      </c>
      <c r="T201">
        <v>0</v>
      </c>
      <c r="U201">
        <v>0</v>
      </c>
      <c r="V201">
        <v>1</v>
      </c>
      <c r="W201">
        <v>1</v>
      </c>
      <c r="X201">
        <v>2</v>
      </c>
      <c r="Y201">
        <v>0</v>
      </c>
      <c r="Z201">
        <v>0</v>
      </c>
      <c r="AA201">
        <v>0</v>
      </c>
      <c r="AB201">
        <v>0</v>
      </c>
      <c r="AC201">
        <v>1</v>
      </c>
      <c r="AD201">
        <v>2</v>
      </c>
      <c r="AE201">
        <v>1</v>
      </c>
      <c r="AF201">
        <v>0</v>
      </c>
      <c r="AG201">
        <v>0</v>
      </c>
      <c r="AH201">
        <v>0</v>
      </c>
      <c r="AI201">
        <v>0</v>
      </c>
      <c r="AJ201">
        <v>0</v>
      </c>
      <c r="AK201">
        <v>0</v>
      </c>
      <c r="AL201">
        <v>0</v>
      </c>
      <c r="AM201">
        <v>0</v>
      </c>
      <c r="AN201">
        <v>0</v>
      </c>
      <c r="AO201">
        <v>0</v>
      </c>
      <c r="AP201">
        <v>0</v>
      </c>
      <c r="AQ201">
        <v>0</v>
      </c>
      <c r="AR201">
        <v>0</v>
      </c>
      <c r="AS201">
        <v>0</v>
      </c>
      <c r="AT201">
        <v>0</v>
      </c>
      <c r="AU201" t="s">
        <v>242</v>
      </c>
      <c r="AV201" t="s">
        <v>457</v>
      </c>
      <c r="AW201" t="s">
        <v>328</v>
      </c>
      <c r="AX201" t="s">
        <v>458</v>
      </c>
      <c r="AY201">
        <v>77087</v>
      </c>
      <c r="AZ201">
        <v>48201332800</v>
      </c>
      <c r="BA201" t="s">
        <v>329</v>
      </c>
      <c r="BB201" t="s">
        <v>330</v>
      </c>
      <c r="BC201">
        <v>54037</v>
      </c>
      <c r="BD201">
        <v>2892</v>
      </c>
      <c r="BE201" t="s">
        <v>407</v>
      </c>
      <c r="BF201" t="s">
        <v>407</v>
      </c>
      <c r="BG201" t="s">
        <v>407</v>
      </c>
    </row>
    <row r="202" spans="1:59" x14ac:dyDescent="0.3">
      <c r="A202">
        <v>651800</v>
      </c>
      <c r="B202">
        <v>18938127</v>
      </c>
      <c r="C202">
        <v>2022</v>
      </c>
      <c r="D202" s="62">
        <v>44637</v>
      </c>
      <c r="E202">
        <v>18</v>
      </c>
      <c r="F202" t="s">
        <v>425</v>
      </c>
      <c r="G202" t="s">
        <v>319</v>
      </c>
      <c r="H202" t="s">
        <v>453</v>
      </c>
      <c r="I202" t="s">
        <v>411</v>
      </c>
      <c r="J202">
        <v>29.692264810000001</v>
      </c>
      <c r="K202">
        <v>-95.298853109999996</v>
      </c>
      <c r="L202" t="s">
        <v>430</v>
      </c>
      <c r="M202" t="s">
        <v>322</v>
      </c>
      <c r="N202" t="s">
        <v>323</v>
      </c>
      <c r="O202" t="s">
        <v>324</v>
      </c>
      <c r="P202" t="s">
        <v>283</v>
      </c>
      <c r="Q202" t="s">
        <v>278</v>
      </c>
      <c r="R202" t="s">
        <v>406</v>
      </c>
      <c r="S202">
        <v>0</v>
      </c>
      <c r="T202">
        <v>0</v>
      </c>
      <c r="U202">
        <v>0</v>
      </c>
      <c r="V202">
        <v>1</v>
      </c>
      <c r="W202">
        <v>1</v>
      </c>
      <c r="X202">
        <v>1</v>
      </c>
      <c r="Y202">
        <v>1</v>
      </c>
      <c r="Z202">
        <v>0</v>
      </c>
      <c r="AA202">
        <v>0</v>
      </c>
      <c r="AB202">
        <v>0</v>
      </c>
      <c r="AC202">
        <v>1</v>
      </c>
      <c r="AD202">
        <v>1</v>
      </c>
      <c r="AE202">
        <v>1</v>
      </c>
      <c r="AF202">
        <v>1</v>
      </c>
      <c r="AG202">
        <v>0</v>
      </c>
      <c r="AH202">
        <v>0</v>
      </c>
      <c r="AI202">
        <v>0</v>
      </c>
      <c r="AJ202">
        <v>0</v>
      </c>
      <c r="AK202">
        <v>0</v>
      </c>
      <c r="AL202">
        <v>0</v>
      </c>
      <c r="AM202">
        <v>0</v>
      </c>
      <c r="AN202">
        <v>0</v>
      </c>
      <c r="AO202">
        <v>0</v>
      </c>
      <c r="AP202">
        <v>0</v>
      </c>
      <c r="AQ202">
        <v>0</v>
      </c>
      <c r="AR202">
        <v>0</v>
      </c>
      <c r="AS202">
        <v>0</v>
      </c>
      <c r="AT202">
        <v>0</v>
      </c>
      <c r="AU202" t="s">
        <v>242</v>
      </c>
      <c r="AV202" t="s">
        <v>457</v>
      </c>
      <c r="AW202" t="s">
        <v>328</v>
      </c>
      <c r="AX202" t="s">
        <v>458</v>
      </c>
      <c r="AY202">
        <v>77087</v>
      </c>
      <c r="AZ202">
        <v>48201332900</v>
      </c>
      <c r="BA202" t="s">
        <v>329</v>
      </c>
      <c r="BB202" t="s">
        <v>330</v>
      </c>
      <c r="BC202">
        <v>54037</v>
      </c>
      <c r="BD202">
        <v>2892</v>
      </c>
      <c r="BE202" t="s">
        <v>407</v>
      </c>
      <c r="BF202" t="s">
        <v>407</v>
      </c>
      <c r="BG202" t="s">
        <v>407</v>
      </c>
    </row>
    <row r="203" spans="1:59" x14ac:dyDescent="0.3">
      <c r="A203">
        <v>653221</v>
      </c>
      <c r="B203">
        <v>18943510</v>
      </c>
      <c r="C203">
        <v>2022</v>
      </c>
      <c r="D203" s="62">
        <v>44716</v>
      </c>
      <c r="E203">
        <v>11</v>
      </c>
      <c r="F203" t="s">
        <v>436</v>
      </c>
      <c r="G203" t="s">
        <v>319</v>
      </c>
      <c r="H203" t="s">
        <v>494</v>
      </c>
      <c r="I203" t="s">
        <v>413</v>
      </c>
      <c r="J203">
        <v>29.693487380000001</v>
      </c>
      <c r="K203">
        <v>-95.299516190000006</v>
      </c>
      <c r="L203" t="s">
        <v>321</v>
      </c>
      <c r="M203" t="s">
        <v>322</v>
      </c>
      <c r="N203" t="s">
        <v>422</v>
      </c>
      <c r="O203" t="s">
        <v>445</v>
      </c>
      <c r="P203" t="s">
        <v>414</v>
      </c>
      <c r="Q203" t="s">
        <v>332</v>
      </c>
      <c r="R203" t="s">
        <v>406</v>
      </c>
      <c r="S203">
        <v>0</v>
      </c>
      <c r="T203">
        <v>0</v>
      </c>
      <c r="U203">
        <v>0</v>
      </c>
      <c r="V203">
        <v>0</v>
      </c>
      <c r="W203">
        <v>0</v>
      </c>
      <c r="X203">
        <v>1</v>
      </c>
      <c r="Y203">
        <v>0</v>
      </c>
      <c r="Z203">
        <v>0</v>
      </c>
      <c r="AA203">
        <v>0</v>
      </c>
      <c r="AB203">
        <v>0</v>
      </c>
      <c r="AC203">
        <v>0</v>
      </c>
      <c r="AD203">
        <v>1</v>
      </c>
      <c r="AE203">
        <v>0</v>
      </c>
      <c r="AF203">
        <v>0</v>
      </c>
      <c r="AG203">
        <v>0</v>
      </c>
      <c r="AH203">
        <v>0</v>
      </c>
      <c r="AI203">
        <v>0</v>
      </c>
      <c r="AJ203">
        <v>0</v>
      </c>
      <c r="AK203">
        <v>0</v>
      </c>
      <c r="AL203">
        <v>0</v>
      </c>
      <c r="AM203">
        <v>0</v>
      </c>
      <c r="AN203">
        <v>0</v>
      </c>
      <c r="AO203">
        <v>0</v>
      </c>
      <c r="AP203">
        <v>0</v>
      </c>
      <c r="AQ203">
        <v>0</v>
      </c>
      <c r="AR203">
        <v>0</v>
      </c>
      <c r="AS203">
        <v>0</v>
      </c>
      <c r="AT203">
        <v>0</v>
      </c>
      <c r="AU203" t="s">
        <v>242</v>
      </c>
      <c r="AV203" t="s">
        <v>457</v>
      </c>
      <c r="AW203" t="s">
        <v>328</v>
      </c>
      <c r="AX203" t="s">
        <v>458</v>
      </c>
      <c r="AY203">
        <v>77087</v>
      </c>
      <c r="AZ203">
        <v>48201332800</v>
      </c>
      <c r="BA203" t="s">
        <v>329</v>
      </c>
      <c r="BB203" t="s">
        <v>330</v>
      </c>
      <c r="BC203">
        <v>54257</v>
      </c>
      <c r="BD203">
        <v>2892</v>
      </c>
      <c r="BE203" t="s">
        <v>407</v>
      </c>
      <c r="BF203" t="s">
        <v>407</v>
      </c>
      <c r="BG203" t="s">
        <v>407</v>
      </c>
    </row>
    <row r="204" spans="1:59" x14ac:dyDescent="0.3">
      <c r="A204">
        <v>655307</v>
      </c>
      <c r="B204">
        <v>18952091</v>
      </c>
      <c r="C204">
        <v>2022</v>
      </c>
      <c r="D204" s="62">
        <v>44702</v>
      </c>
      <c r="E204">
        <v>7</v>
      </c>
      <c r="F204" t="s">
        <v>436</v>
      </c>
      <c r="G204" t="s">
        <v>319</v>
      </c>
      <c r="H204" t="s">
        <v>453</v>
      </c>
      <c r="I204" t="s">
        <v>411</v>
      </c>
      <c r="J204">
        <v>29.68872481</v>
      </c>
      <c r="K204">
        <v>-95.298763109999996</v>
      </c>
      <c r="L204" t="s">
        <v>321</v>
      </c>
      <c r="M204" t="s">
        <v>322</v>
      </c>
      <c r="N204" t="s">
        <v>448</v>
      </c>
      <c r="O204" t="s">
        <v>324</v>
      </c>
      <c r="P204" t="s">
        <v>428</v>
      </c>
      <c r="Q204" t="s">
        <v>331</v>
      </c>
      <c r="R204" t="s">
        <v>472</v>
      </c>
      <c r="S204">
        <v>0</v>
      </c>
      <c r="T204">
        <v>0</v>
      </c>
      <c r="U204">
        <v>0</v>
      </c>
      <c r="V204">
        <v>0</v>
      </c>
      <c r="W204">
        <v>0</v>
      </c>
      <c r="X204">
        <v>0</v>
      </c>
      <c r="Y204">
        <v>3</v>
      </c>
      <c r="Z204">
        <v>0</v>
      </c>
      <c r="AA204">
        <v>0</v>
      </c>
      <c r="AB204">
        <v>0</v>
      </c>
      <c r="AC204">
        <v>0</v>
      </c>
      <c r="AD204">
        <v>0</v>
      </c>
      <c r="AE204">
        <v>0</v>
      </c>
      <c r="AF204">
        <v>3</v>
      </c>
      <c r="AG204">
        <v>0</v>
      </c>
      <c r="AH204">
        <v>0</v>
      </c>
      <c r="AI204">
        <v>0</v>
      </c>
      <c r="AJ204">
        <v>0</v>
      </c>
      <c r="AK204">
        <v>0</v>
      </c>
      <c r="AL204">
        <v>0</v>
      </c>
      <c r="AM204">
        <v>0</v>
      </c>
      <c r="AN204">
        <v>0</v>
      </c>
      <c r="AO204">
        <v>0</v>
      </c>
      <c r="AP204">
        <v>0</v>
      </c>
      <c r="AQ204">
        <v>0</v>
      </c>
      <c r="AR204">
        <v>0</v>
      </c>
      <c r="AS204">
        <v>0</v>
      </c>
      <c r="AT204">
        <v>0</v>
      </c>
      <c r="AU204" t="s">
        <v>242</v>
      </c>
      <c r="AV204" t="s">
        <v>457</v>
      </c>
      <c r="AW204" t="s">
        <v>328</v>
      </c>
      <c r="AX204" t="s">
        <v>458</v>
      </c>
      <c r="AY204">
        <v>77087</v>
      </c>
      <c r="AZ204">
        <v>48201332800</v>
      </c>
      <c r="BA204" t="s">
        <v>329</v>
      </c>
      <c r="BB204" t="s">
        <v>330</v>
      </c>
      <c r="BC204">
        <v>54037</v>
      </c>
      <c r="BD204">
        <v>2892</v>
      </c>
      <c r="BE204" t="s">
        <v>407</v>
      </c>
      <c r="BF204" t="s">
        <v>407</v>
      </c>
      <c r="BG204" t="s">
        <v>407</v>
      </c>
    </row>
    <row r="205" spans="1:59" x14ac:dyDescent="0.3">
      <c r="A205">
        <v>658913</v>
      </c>
      <c r="B205">
        <v>18967099</v>
      </c>
      <c r="C205">
        <v>2022</v>
      </c>
      <c r="D205" s="62">
        <v>44719</v>
      </c>
      <c r="E205">
        <v>14</v>
      </c>
      <c r="F205" t="s">
        <v>318</v>
      </c>
      <c r="G205" t="s">
        <v>319</v>
      </c>
      <c r="H205" t="s">
        <v>453</v>
      </c>
      <c r="I205" t="s">
        <v>419</v>
      </c>
      <c r="J205">
        <v>29.680414819999999</v>
      </c>
      <c r="K205">
        <v>-95.293353109999998</v>
      </c>
      <c r="L205" t="s">
        <v>321</v>
      </c>
      <c r="M205" t="s">
        <v>322</v>
      </c>
      <c r="N205" t="s">
        <v>448</v>
      </c>
      <c r="O205" t="s">
        <v>324</v>
      </c>
      <c r="P205" t="s">
        <v>414</v>
      </c>
      <c r="Q205" t="s">
        <v>331</v>
      </c>
      <c r="R205" t="s">
        <v>434</v>
      </c>
      <c r="S205">
        <v>0</v>
      </c>
      <c r="T205">
        <v>0</v>
      </c>
      <c r="U205">
        <v>0</v>
      </c>
      <c r="V205">
        <v>0</v>
      </c>
      <c r="W205">
        <v>0</v>
      </c>
      <c r="X205">
        <v>6</v>
      </c>
      <c r="Y205">
        <v>0</v>
      </c>
      <c r="Z205">
        <v>0</v>
      </c>
      <c r="AA205">
        <v>0</v>
      </c>
      <c r="AB205">
        <v>0</v>
      </c>
      <c r="AC205">
        <v>0</v>
      </c>
      <c r="AD205">
        <v>6</v>
      </c>
      <c r="AE205">
        <v>0</v>
      </c>
      <c r="AF205">
        <v>0</v>
      </c>
      <c r="AG205">
        <v>0</v>
      </c>
      <c r="AH205">
        <v>0</v>
      </c>
      <c r="AI205">
        <v>0</v>
      </c>
      <c r="AJ205">
        <v>0</v>
      </c>
      <c r="AK205">
        <v>0</v>
      </c>
      <c r="AL205">
        <v>0</v>
      </c>
      <c r="AM205">
        <v>0</v>
      </c>
      <c r="AN205">
        <v>0</v>
      </c>
      <c r="AO205">
        <v>0</v>
      </c>
      <c r="AP205">
        <v>0</v>
      </c>
      <c r="AQ205">
        <v>0</v>
      </c>
      <c r="AR205">
        <v>0</v>
      </c>
      <c r="AS205">
        <v>0</v>
      </c>
      <c r="AT205">
        <v>0</v>
      </c>
      <c r="AU205" t="s">
        <v>242</v>
      </c>
      <c r="AV205" t="s">
        <v>327</v>
      </c>
      <c r="AW205" t="s">
        <v>328</v>
      </c>
      <c r="AX205" t="s">
        <v>458</v>
      </c>
      <c r="AY205">
        <v>77087</v>
      </c>
      <c r="AZ205">
        <v>48201332600</v>
      </c>
      <c r="BA205" t="s">
        <v>329</v>
      </c>
      <c r="BB205" t="s">
        <v>330</v>
      </c>
      <c r="BC205">
        <v>158977</v>
      </c>
      <c r="BD205">
        <v>2840</v>
      </c>
      <c r="BE205" t="s">
        <v>407</v>
      </c>
      <c r="BF205" t="s">
        <v>407</v>
      </c>
      <c r="BG205" t="s">
        <v>407</v>
      </c>
    </row>
    <row r="206" spans="1:59" x14ac:dyDescent="0.3">
      <c r="A206">
        <v>659239</v>
      </c>
      <c r="B206">
        <v>18968264</v>
      </c>
      <c r="C206">
        <v>2022</v>
      </c>
      <c r="D206" s="62">
        <v>44714</v>
      </c>
      <c r="E206">
        <v>8</v>
      </c>
      <c r="F206" t="s">
        <v>425</v>
      </c>
      <c r="G206" t="s">
        <v>319</v>
      </c>
      <c r="H206" t="s">
        <v>504</v>
      </c>
      <c r="I206" t="s">
        <v>411</v>
      </c>
      <c r="J206">
        <v>29.68579956</v>
      </c>
      <c r="K206">
        <v>-95.296676649999995</v>
      </c>
      <c r="L206" t="s">
        <v>321</v>
      </c>
      <c r="M206" t="s">
        <v>322</v>
      </c>
      <c r="N206" t="s">
        <v>323</v>
      </c>
      <c r="O206" t="s">
        <v>456</v>
      </c>
      <c r="P206" t="s">
        <v>410</v>
      </c>
      <c r="Q206" t="s">
        <v>278</v>
      </c>
      <c r="R206" t="s">
        <v>477</v>
      </c>
      <c r="S206">
        <v>0</v>
      </c>
      <c r="T206">
        <v>0</v>
      </c>
      <c r="U206">
        <v>1</v>
      </c>
      <c r="V206">
        <v>0</v>
      </c>
      <c r="W206">
        <v>1</v>
      </c>
      <c r="X206">
        <v>1</v>
      </c>
      <c r="Y206">
        <v>0</v>
      </c>
      <c r="Z206">
        <v>0</v>
      </c>
      <c r="AA206">
        <v>0</v>
      </c>
      <c r="AB206">
        <v>0</v>
      </c>
      <c r="AC206">
        <v>0</v>
      </c>
      <c r="AD206">
        <v>1</v>
      </c>
      <c r="AE206">
        <v>0</v>
      </c>
      <c r="AF206">
        <v>0</v>
      </c>
      <c r="AG206">
        <v>0</v>
      </c>
      <c r="AH206">
        <v>0</v>
      </c>
      <c r="AI206">
        <v>1</v>
      </c>
      <c r="AJ206">
        <v>0</v>
      </c>
      <c r="AK206">
        <v>0</v>
      </c>
      <c r="AL206">
        <v>1</v>
      </c>
      <c r="AM206">
        <v>0</v>
      </c>
      <c r="AN206">
        <v>0</v>
      </c>
      <c r="AO206">
        <v>0</v>
      </c>
      <c r="AP206">
        <v>0</v>
      </c>
      <c r="AQ206">
        <v>0</v>
      </c>
      <c r="AR206">
        <v>0</v>
      </c>
      <c r="AS206">
        <v>0</v>
      </c>
      <c r="AT206">
        <v>0</v>
      </c>
      <c r="AU206" t="s">
        <v>242</v>
      </c>
      <c r="AV206" t="s">
        <v>457</v>
      </c>
      <c r="AW206" t="s">
        <v>328</v>
      </c>
      <c r="AX206" t="s">
        <v>458</v>
      </c>
      <c r="AY206">
        <v>77087</v>
      </c>
      <c r="AZ206">
        <v>48201332900</v>
      </c>
      <c r="BA206" t="s">
        <v>329</v>
      </c>
      <c r="BB206" t="s">
        <v>330</v>
      </c>
      <c r="BC206">
        <v>53817</v>
      </c>
      <c r="BD206">
        <v>2840</v>
      </c>
      <c r="BE206" t="s">
        <v>407</v>
      </c>
      <c r="BF206" t="s">
        <v>407</v>
      </c>
      <c r="BG206" t="s">
        <v>407</v>
      </c>
    </row>
    <row r="207" spans="1:59" x14ac:dyDescent="0.3">
      <c r="A207">
        <v>662386</v>
      </c>
      <c r="B207">
        <v>18980052</v>
      </c>
      <c r="C207">
        <v>2022</v>
      </c>
      <c r="D207" s="62">
        <v>44735</v>
      </c>
      <c r="E207">
        <v>16</v>
      </c>
      <c r="F207" t="s">
        <v>425</v>
      </c>
      <c r="G207" t="s">
        <v>319</v>
      </c>
      <c r="H207" t="s">
        <v>453</v>
      </c>
      <c r="I207" t="s">
        <v>411</v>
      </c>
      <c r="J207">
        <v>29.678919270000002</v>
      </c>
      <c r="K207">
        <v>-95.292267100000004</v>
      </c>
      <c r="L207" t="s">
        <v>321</v>
      </c>
      <c r="M207" t="s">
        <v>322</v>
      </c>
      <c r="N207" t="s">
        <v>422</v>
      </c>
      <c r="O207" t="s">
        <v>324</v>
      </c>
      <c r="P207" t="s">
        <v>414</v>
      </c>
      <c r="Q207" t="s">
        <v>332</v>
      </c>
      <c r="R207" t="s">
        <v>416</v>
      </c>
      <c r="S207">
        <v>0</v>
      </c>
      <c r="T207">
        <v>0</v>
      </c>
      <c r="U207">
        <v>0</v>
      </c>
      <c r="V207">
        <v>0</v>
      </c>
      <c r="W207">
        <v>0</v>
      </c>
      <c r="X207">
        <v>2</v>
      </c>
      <c r="Y207">
        <v>0</v>
      </c>
      <c r="Z207">
        <v>0</v>
      </c>
      <c r="AA207">
        <v>0</v>
      </c>
      <c r="AB207">
        <v>0</v>
      </c>
      <c r="AC207">
        <v>0</v>
      </c>
      <c r="AD207">
        <v>2</v>
      </c>
      <c r="AE207">
        <v>0</v>
      </c>
      <c r="AF207">
        <v>0</v>
      </c>
      <c r="AG207">
        <v>0</v>
      </c>
      <c r="AH207">
        <v>0</v>
      </c>
      <c r="AI207">
        <v>0</v>
      </c>
      <c r="AJ207">
        <v>0</v>
      </c>
      <c r="AK207">
        <v>0</v>
      </c>
      <c r="AL207">
        <v>0</v>
      </c>
      <c r="AM207">
        <v>0</v>
      </c>
      <c r="AN207">
        <v>0</v>
      </c>
      <c r="AO207">
        <v>0</v>
      </c>
      <c r="AP207">
        <v>0</v>
      </c>
      <c r="AQ207">
        <v>0</v>
      </c>
      <c r="AR207">
        <v>0</v>
      </c>
      <c r="AS207">
        <v>0</v>
      </c>
      <c r="AT207">
        <v>0</v>
      </c>
      <c r="AU207" t="s">
        <v>242</v>
      </c>
      <c r="AV207" t="s">
        <v>327</v>
      </c>
      <c r="AW207" t="s">
        <v>328</v>
      </c>
      <c r="AX207" t="s">
        <v>458</v>
      </c>
      <c r="AY207">
        <v>77087</v>
      </c>
      <c r="AZ207">
        <v>48201332600</v>
      </c>
      <c r="BA207" t="s">
        <v>329</v>
      </c>
      <c r="BB207" t="s">
        <v>330</v>
      </c>
      <c r="BC207">
        <v>158977</v>
      </c>
      <c r="BD207">
        <v>2840</v>
      </c>
      <c r="BE207" t="s">
        <v>407</v>
      </c>
      <c r="BF207" t="s">
        <v>407</v>
      </c>
      <c r="BG207" t="s">
        <v>407</v>
      </c>
    </row>
    <row r="208" spans="1:59" x14ac:dyDescent="0.3">
      <c r="A208">
        <v>665131</v>
      </c>
      <c r="B208">
        <v>18991157</v>
      </c>
      <c r="C208">
        <v>2022</v>
      </c>
      <c r="D208" s="62">
        <v>44727</v>
      </c>
      <c r="E208">
        <v>7</v>
      </c>
      <c r="F208" t="s">
        <v>405</v>
      </c>
      <c r="G208" t="s">
        <v>319</v>
      </c>
      <c r="H208" t="s">
        <v>453</v>
      </c>
      <c r="I208" t="s">
        <v>419</v>
      </c>
      <c r="J208">
        <v>29.691314810000002</v>
      </c>
      <c r="K208">
        <v>-95.298783110000002</v>
      </c>
      <c r="L208" t="s">
        <v>321</v>
      </c>
      <c r="M208" t="s">
        <v>322</v>
      </c>
      <c r="N208" t="s">
        <v>429</v>
      </c>
      <c r="O208" t="s">
        <v>324</v>
      </c>
      <c r="P208" t="s">
        <v>414</v>
      </c>
      <c r="Q208" t="s">
        <v>278</v>
      </c>
      <c r="R208" t="s">
        <v>434</v>
      </c>
      <c r="S208">
        <v>0</v>
      </c>
      <c r="T208">
        <v>0</v>
      </c>
      <c r="U208">
        <v>0</v>
      </c>
      <c r="V208">
        <v>0</v>
      </c>
      <c r="W208">
        <v>0</v>
      </c>
      <c r="X208">
        <v>2</v>
      </c>
      <c r="Y208">
        <v>0</v>
      </c>
      <c r="Z208">
        <v>0</v>
      </c>
      <c r="AA208">
        <v>0</v>
      </c>
      <c r="AB208">
        <v>0</v>
      </c>
      <c r="AC208">
        <v>0</v>
      </c>
      <c r="AD208">
        <v>2</v>
      </c>
      <c r="AE208">
        <v>0</v>
      </c>
      <c r="AF208">
        <v>0</v>
      </c>
      <c r="AG208">
        <v>0</v>
      </c>
      <c r="AH208">
        <v>0</v>
      </c>
      <c r="AI208">
        <v>0</v>
      </c>
      <c r="AJ208">
        <v>0</v>
      </c>
      <c r="AK208">
        <v>0</v>
      </c>
      <c r="AL208">
        <v>0</v>
      </c>
      <c r="AM208">
        <v>0</v>
      </c>
      <c r="AN208">
        <v>0</v>
      </c>
      <c r="AO208">
        <v>0</v>
      </c>
      <c r="AP208">
        <v>0</v>
      </c>
      <c r="AQ208">
        <v>0</v>
      </c>
      <c r="AR208">
        <v>0</v>
      </c>
      <c r="AS208">
        <v>0</v>
      </c>
      <c r="AT208">
        <v>0</v>
      </c>
      <c r="AU208" t="s">
        <v>242</v>
      </c>
      <c r="AV208" t="s">
        <v>457</v>
      </c>
      <c r="AW208" t="s">
        <v>328</v>
      </c>
      <c r="AX208" t="s">
        <v>458</v>
      </c>
      <c r="AY208">
        <v>77087</v>
      </c>
      <c r="AZ208">
        <v>48201332900</v>
      </c>
      <c r="BA208" t="s">
        <v>329</v>
      </c>
      <c r="BB208" t="s">
        <v>330</v>
      </c>
      <c r="BC208">
        <v>54037</v>
      </c>
      <c r="BD208">
        <v>2892</v>
      </c>
      <c r="BE208" t="s">
        <v>407</v>
      </c>
      <c r="BF208" t="s">
        <v>407</v>
      </c>
      <c r="BG208" t="s">
        <v>407</v>
      </c>
    </row>
    <row r="209" spans="1:59" x14ac:dyDescent="0.3">
      <c r="A209">
        <v>668666</v>
      </c>
      <c r="B209">
        <v>19004794</v>
      </c>
      <c r="C209">
        <v>2022</v>
      </c>
      <c r="D209" s="62">
        <v>44736</v>
      </c>
      <c r="E209">
        <v>17</v>
      </c>
      <c r="F209" t="s">
        <v>418</v>
      </c>
      <c r="G209" t="s">
        <v>319</v>
      </c>
      <c r="H209" t="s">
        <v>453</v>
      </c>
      <c r="I209" t="s">
        <v>437</v>
      </c>
      <c r="J209">
        <v>29.685024819999999</v>
      </c>
      <c r="K209">
        <v>-95.296333110000006</v>
      </c>
      <c r="L209" t="s">
        <v>420</v>
      </c>
      <c r="M209" t="s">
        <v>322</v>
      </c>
      <c r="N209" t="s">
        <v>429</v>
      </c>
      <c r="O209" t="s">
        <v>324</v>
      </c>
      <c r="P209" t="s">
        <v>414</v>
      </c>
      <c r="Q209" t="s">
        <v>278</v>
      </c>
      <c r="R209" t="s">
        <v>406</v>
      </c>
      <c r="S209">
        <v>0</v>
      </c>
      <c r="T209">
        <v>0</v>
      </c>
      <c r="U209">
        <v>0</v>
      </c>
      <c r="V209">
        <v>0</v>
      </c>
      <c r="W209">
        <v>0</v>
      </c>
      <c r="X209">
        <v>8</v>
      </c>
      <c r="Y209">
        <v>0</v>
      </c>
      <c r="Z209">
        <v>0</v>
      </c>
      <c r="AA209">
        <v>0</v>
      </c>
      <c r="AB209">
        <v>0</v>
      </c>
      <c r="AC209">
        <v>0</v>
      </c>
      <c r="AD209">
        <v>8</v>
      </c>
      <c r="AE209">
        <v>0</v>
      </c>
      <c r="AF209">
        <v>0</v>
      </c>
      <c r="AG209">
        <v>0</v>
      </c>
      <c r="AH209">
        <v>0</v>
      </c>
      <c r="AI209">
        <v>0</v>
      </c>
      <c r="AJ209">
        <v>0</v>
      </c>
      <c r="AK209">
        <v>0</v>
      </c>
      <c r="AL209">
        <v>0</v>
      </c>
      <c r="AM209">
        <v>0</v>
      </c>
      <c r="AN209">
        <v>0</v>
      </c>
      <c r="AO209">
        <v>0</v>
      </c>
      <c r="AP209">
        <v>0</v>
      </c>
      <c r="AQ209">
        <v>0</v>
      </c>
      <c r="AR209">
        <v>0</v>
      </c>
      <c r="AS209">
        <v>0</v>
      </c>
      <c r="AT209">
        <v>0</v>
      </c>
      <c r="AU209" t="s">
        <v>242</v>
      </c>
      <c r="AV209" t="s">
        <v>457</v>
      </c>
      <c r="AW209" t="s">
        <v>328</v>
      </c>
      <c r="AX209" t="s">
        <v>458</v>
      </c>
      <c r="AY209">
        <v>77087</v>
      </c>
      <c r="AZ209">
        <v>48201332700</v>
      </c>
      <c r="BA209" t="s">
        <v>329</v>
      </c>
      <c r="BB209" t="s">
        <v>330</v>
      </c>
      <c r="BC209">
        <v>53817</v>
      </c>
      <c r="BD209">
        <v>2840</v>
      </c>
      <c r="BE209" t="s">
        <v>407</v>
      </c>
      <c r="BF209" t="s">
        <v>407</v>
      </c>
      <c r="BG209" t="s">
        <v>407</v>
      </c>
    </row>
    <row r="210" spans="1:59" x14ac:dyDescent="0.3">
      <c r="A210">
        <v>670235</v>
      </c>
      <c r="B210">
        <v>19011582</v>
      </c>
      <c r="C210">
        <v>2022</v>
      </c>
      <c r="D210" s="62">
        <v>44748</v>
      </c>
      <c r="E210">
        <v>12</v>
      </c>
      <c r="F210" t="s">
        <v>405</v>
      </c>
      <c r="G210" t="s">
        <v>319</v>
      </c>
      <c r="H210" t="s">
        <v>453</v>
      </c>
      <c r="I210" t="s">
        <v>320</v>
      </c>
      <c r="J210">
        <v>29.68281</v>
      </c>
      <c r="K210">
        <v>-95.294839999999994</v>
      </c>
      <c r="L210" t="s">
        <v>321</v>
      </c>
      <c r="M210" t="s">
        <v>322</v>
      </c>
      <c r="N210" t="s">
        <v>422</v>
      </c>
      <c r="O210" t="s">
        <v>324</v>
      </c>
      <c r="P210" t="s">
        <v>414</v>
      </c>
      <c r="Q210" t="s">
        <v>332</v>
      </c>
      <c r="R210" t="s">
        <v>434</v>
      </c>
      <c r="S210">
        <v>0</v>
      </c>
      <c r="T210">
        <v>0</v>
      </c>
      <c r="U210">
        <v>0</v>
      </c>
      <c r="V210">
        <v>0</v>
      </c>
      <c r="W210">
        <v>0</v>
      </c>
      <c r="X210">
        <v>2</v>
      </c>
      <c r="Y210">
        <v>0</v>
      </c>
      <c r="Z210">
        <v>0</v>
      </c>
      <c r="AA210">
        <v>0</v>
      </c>
      <c r="AB210">
        <v>0</v>
      </c>
      <c r="AC210">
        <v>0</v>
      </c>
      <c r="AD210">
        <v>2</v>
      </c>
      <c r="AE210">
        <v>0</v>
      </c>
      <c r="AF210">
        <v>0</v>
      </c>
      <c r="AG210">
        <v>0</v>
      </c>
      <c r="AH210">
        <v>0</v>
      </c>
      <c r="AI210">
        <v>0</v>
      </c>
      <c r="AJ210">
        <v>0</v>
      </c>
      <c r="AK210">
        <v>0</v>
      </c>
      <c r="AL210">
        <v>0</v>
      </c>
      <c r="AM210">
        <v>0</v>
      </c>
      <c r="AN210">
        <v>0</v>
      </c>
      <c r="AO210">
        <v>0</v>
      </c>
      <c r="AP210">
        <v>0</v>
      </c>
      <c r="AQ210">
        <v>0</v>
      </c>
      <c r="AR210">
        <v>0</v>
      </c>
      <c r="AS210">
        <v>0</v>
      </c>
      <c r="AT210">
        <v>0</v>
      </c>
      <c r="AU210" t="s">
        <v>242</v>
      </c>
      <c r="AV210" t="s">
        <v>457</v>
      </c>
      <c r="AW210" t="s">
        <v>328</v>
      </c>
      <c r="AX210" t="s">
        <v>458</v>
      </c>
      <c r="AY210">
        <v>77087</v>
      </c>
      <c r="AZ210">
        <v>48201332700</v>
      </c>
      <c r="BA210" t="s">
        <v>329</v>
      </c>
      <c r="BB210" t="s">
        <v>330</v>
      </c>
      <c r="BC210">
        <v>158977</v>
      </c>
      <c r="BD210">
        <v>2840</v>
      </c>
      <c r="BE210" t="s">
        <v>407</v>
      </c>
      <c r="BF210" t="s">
        <v>407</v>
      </c>
      <c r="BG210" t="s">
        <v>407</v>
      </c>
    </row>
    <row r="211" spans="1:59" x14ac:dyDescent="0.3">
      <c r="A211">
        <v>670929</v>
      </c>
      <c r="B211">
        <v>19013786</v>
      </c>
      <c r="C211">
        <v>2022</v>
      </c>
      <c r="D211" s="62">
        <v>44756</v>
      </c>
      <c r="E211">
        <v>15</v>
      </c>
      <c r="F211" t="s">
        <v>425</v>
      </c>
      <c r="G211" t="s">
        <v>319</v>
      </c>
      <c r="H211" t="s">
        <v>453</v>
      </c>
      <c r="I211" t="s">
        <v>419</v>
      </c>
      <c r="J211">
        <v>29.67663494</v>
      </c>
      <c r="K211">
        <v>-95.290613199999996</v>
      </c>
      <c r="L211" t="s">
        <v>321</v>
      </c>
      <c r="M211" t="s">
        <v>322</v>
      </c>
      <c r="N211" t="s">
        <v>422</v>
      </c>
      <c r="O211" t="s">
        <v>324</v>
      </c>
      <c r="P211" t="s">
        <v>283</v>
      </c>
      <c r="Q211" t="s">
        <v>325</v>
      </c>
      <c r="R211" t="s">
        <v>412</v>
      </c>
      <c r="S211">
        <v>0</v>
      </c>
      <c r="T211">
        <v>0</v>
      </c>
      <c r="U211">
        <v>0</v>
      </c>
      <c r="V211">
        <v>2</v>
      </c>
      <c r="W211">
        <v>2</v>
      </c>
      <c r="X211">
        <v>0</v>
      </c>
      <c r="Y211">
        <v>0</v>
      </c>
      <c r="Z211">
        <v>0</v>
      </c>
      <c r="AA211">
        <v>0</v>
      </c>
      <c r="AB211">
        <v>0</v>
      </c>
      <c r="AC211">
        <v>2</v>
      </c>
      <c r="AD211">
        <v>0</v>
      </c>
      <c r="AE211">
        <v>2</v>
      </c>
      <c r="AF211">
        <v>0</v>
      </c>
      <c r="AG211">
        <v>0</v>
      </c>
      <c r="AH211">
        <v>0</v>
      </c>
      <c r="AI211">
        <v>0</v>
      </c>
      <c r="AJ211">
        <v>0</v>
      </c>
      <c r="AK211">
        <v>0</v>
      </c>
      <c r="AL211">
        <v>0</v>
      </c>
      <c r="AM211">
        <v>0</v>
      </c>
      <c r="AN211">
        <v>0</v>
      </c>
      <c r="AO211">
        <v>0</v>
      </c>
      <c r="AP211">
        <v>0</v>
      </c>
      <c r="AQ211">
        <v>0</v>
      </c>
      <c r="AR211">
        <v>0</v>
      </c>
      <c r="AS211">
        <v>0</v>
      </c>
      <c r="AT211">
        <v>0</v>
      </c>
      <c r="AU211" t="s">
        <v>242</v>
      </c>
      <c r="AV211" t="s">
        <v>327</v>
      </c>
      <c r="AW211" t="s">
        <v>328</v>
      </c>
      <c r="AX211" t="s">
        <v>458</v>
      </c>
      <c r="AY211">
        <v>77087</v>
      </c>
      <c r="AZ211">
        <v>48201332600</v>
      </c>
      <c r="BA211" t="s">
        <v>329</v>
      </c>
      <c r="BB211" t="s">
        <v>330</v>
      </c>
      <c r="BC211">
        <v>158757</v>
      </c>
      <c r="BD211">
        <v>2840</v>
      </c>
      <c r="BE211" t="s">
        <v>407</v>
      </c>
      <c r="BF211" t="s">
        <v>407</v>
      </c>
      <c r="BG211" t="s">
        <v>407</v>
      </c>
    </row>
    <row r="212" spans="1:59" x14ac:dyDescent="0.3">
      <c r="A212">
        <v>671442</v>
      </c>
      <c r="B212">
        <v>19015913</v>
      </c>
      <c r="C212">
        <v>2022</v>
      </c>
      <c r="D212" s="62">
        <v>44753</v>
      </c>
      <c r="E212">
        <v>15</v>
      </c>
      <c r="F212" t="s">
        <v>417</v>
      </c>
      <c r="G212" t="s">
        <v>319</v>
      </c>
      <c r="H212" t="s">
        <v>453</v>
      </c>
      <c r="I212" t="s">
        <v>320</v>
      </c>
      <c r="J212">
        <v>29.691246280000001</v>
      </c>
      <c r="K212">
        <v>-95.298783110000002</v>
      </c>
      <c r="L212" t="s">
        <v>420</v>
      </c>
      <c r="M212" t="s">
        <v>322</v>
      </c>
      <c r="N212" t="s">
        <v>429</v>
      </c>
      <c r="O212" t="s">
        <v>445</v>
      </c>
      <c r="P212" t="s">
        <v>410</v>
      </c>
      <c r="Q212" t="s">
        <v>332</v>
      </c>
      <c r="R212" t="s">
        <v>426</v>
      </c>
      <c r="S212">
        <v>0</v>
      </c>
      <c r="T212">
        <v>0</v>
      </c>
      <c r="U212">
        <v>1</v>
      </c>
      <c r="V212">
        <v>0</v>
      </c>
      <c r="W212">
        <v>1</v>
      </c>
      <c r="X212">
        <v>1</v>
      </c>
      <c r="Y212">
        <v>0</v>
      </c>
      <c r="Z212">
        <v>0</v>
      </c>
      <c r="AA212">
        <v>0</v>
      </c>
      <c r="AB212">
        <v>1</v>
      </c>
      <c r="AC212">
        <v>0</v>
      </c>
      <c r="AD212">
        <v>1</v>
      </c>
      <c r="AE212">
        <v>1</v>
      </c>
      <c r="AF212">
        <v>0</v>
      </c>
      <c r="AG212">
        <v>0</v>
      </c>
      <c r="AH212">
        <v>0</v>
      </c>
      <c r="AI212">
        <v>0</v>
      </c>
      <c r="AJ212">
        <v>0</v>
      </c>
      <c r="AK212">
        <v>0</v>
      </c>
      <c r="AL212">
        <v>0</v>
      </c>
      <c r="AM212">
        <v>0</v>
      </c>
      <c r="AN212">
        <v>0</v>
      </c>
      <c r="AO212">
        <v>0</v>
      </c>
      <c r="AP212">
        <v>0</v>
      </c>
      <c r="AQ212">
        <v>0</v>
      </c>
      <c r="AR212">
        <v>0</v>
      </c>
      <c r="AS212">
        <v>0</v>
      </c>
      <c r="AT212">
        <v>0</v>
      </c>
      <c r="AU212" t="s">
        <v>242</v>
      </c>
      <c r="AV212" t="s">
        <v>457</v>
      </c>
      <c r="AW212" t="s">
        <v>328</v>
      </c>
      <c r="AX212" t="s">
        <v>458</v>
      </c>
      <c r="AY212">
        <v>77087</v>
      </c>
      <c r="AZ212">
        <v>48201332900</v>
      </c>
      <c r="BA212" t="s">
        <v>329</v>
      </c>
      <c r="BB212" t="s">
        <v>330</v>
      </c>
      <c r="BC212">
        <v>54037</v>
      </c>
      <c r="BD212">
        <v>2892</v>
      </c>
      <c r="BE212" t="s">
        <v>407</v>
      </c>
      <c r="BF212" t="s">
        <v>407</v>
      </c>
      <c r="BG212" t="s">
        <v>407</v>
      </c>
    </row>
    <row r="213" spans="1:59" x14ac:dyDescent="0.3">
      <c r="A213">
        <v>671913</v>
      </c>
      <c r="B213">
        <v>19017687</v>
      </c>
      <c r="C213">
        <v>2022</v>
      </c>
      <c r="D213" s="62">
        <v>44759</v>
      </c>
      <c r="E213">
        <v>20</v>
      </c>
      <c r="F213" t="s">
        <v>408</v>
      </c>
      <c r="G213" t="s">
        <v>319</v>
      </c>
      <c r="H213" t="s">
        <v>453</v>
      </c>
      <c r="I213" t="s">
        <v>419</v>
      </c>
      <c r="J213">
        <v>29.69192309</v>
      </c>
      <c r="K213">
        <v>-95.298803019999994</v>
      </c>
      <c r="L213" t="s">
        <v>321</v>
      </c>
      <c r="M213" t="s">
        <v>431</v>
      </c>
      <c r="N213" t="s">
        <v>323</v>
      </c>
      <c r="O213" t="s">
        <v>324</v>
      </c>
      <c r="P213" t="s">
        <v>414</v>
      </c>
      <c r="Q213" t="s">
        <v>325</v>
      </c>
      <c r="R213" t="s">
        <v>412</v>
      </c>
      <c r="S213">
        <v>0</v>
      </c>
      <c r="T213">
        <v>0</v>
      </c>
      <c r="U213">
        <v>0</v>
      </c>
      <c r="V213">
        <v>0</v>
      </c>
      <c r="W213">
        <v>0</v>
      </c>
      <c r="X213">
        <v>1</v>
      </c>
      <c r="Y213">
        <v>1</v>
      </c>
      <c r="Z213">
        <v>0</v>
      </c>
      <c r="AA213">
        <v>0</v>
      </c>
      <c r="AB213">
        <v>0</v>
      </c>
      <c r="AC213">
        <v>0</v>
      </c>
      <c r="AD213">
        <v>1</v>
      </c>
      <c r="AE213">
        <v>0</v>
      </c>
      <c r="AF213">
        <v>1</v>
      </c>
      <c r="AG213">
        <v>0</v>
      </c>
      <c r="AH213">
        <v>0</v>
      </c>
      <c r="AI213">
        <v>0</v>
      </c>
      <c r="AJ213">
        <v>0</v>
      </c>
      <c r="AK213">
        <v>0</v>
      </c>
      <c r="AL213">
        <v>0</v>
      </c>
      <c r="AM213">
        <v>0</v>
      </c>
      <c r="AN213">
        <v>0</v>
      </c>
      <c r="AO213">
        <v>0</v>
      </c>
      <c r="AP213">
        <v>0</v>
      </c>
      <c r="AQ213">
        <v>0</v>
      </c>
      <c r="AR213">
        <v>0</v>
      </c>
      <c r="AS213">
        <v>0</v>
      </c>
      <c r="AT213">
        <v>0</v>
      </c>
      <c r="AU213" t="s">
        <v>242</v>
      </c>
      <c r="AV213" t="s">
        <v>457</v>
      </c>
      <c r="AW213" t="s">
        <v>328</v>
      </c>
      <c r="AX213" t="s">
        <v>458</v>
      </c>
      <c r="AY213">
        <v>77087</v>
      </c>
      <c r="AZ213">
        <v>48201332900</v>
      </c>
      <c r="BA213" t="s">
        <v>329</v>
      </c>
      <c r="BB213" t="s">
        <v>330</v>
      </c>
      <c r="BC213">
        <v>54037</v>
      </c>
      <c r="BD213">
        <v>2892</v>
      </c>
      <c r="BE213" t="s">
        <v>407</v>
      </c>
      <c r="BF213" t="s">
        <v>407</v>
      </c>
      <c r="BG213" t="s">
        <v>407</v>
      </c>
    </row>
    <row r="214" spans="1:59" x14ac:dyDescent="0.3">
      <c r="A214">
        <v>671967</v>
      </c>
      <c r="B214">
        <v>19017868</v>
      </c>
      <c r="C214">
        <v>2022</v>
      </c>
      <c r="D214" s="62">
        <v>44737</v>
      </c>
      <c r="E214">
        <v>3</v>
      </c>
      <c r="F214" t="s">
        <v>436</v>
      </c>
      <c r="G214" t="s">
        <v>319</v>
      </c>
      <c r="H214" t="s">
        <v>473</v>
      </c>
      <c r="I214" t="s">
        <v>413</v>
      </c>
      <c r="J214">
        <v>29.675005680000002</v>
      </c>
      <c r="K214">
        <v>-95.289239789999996</v>
      </c>
      <c r="L214" t="s">
        <v>321</v>
      </c>
      <c r="M214" t="s">
        <v>431</v>
      </c>
      <c r="N214" t="s">
        <v>429</v>
      </c>
      <c r="O214" t="s">
        <v>324</v>
      </c>
      <c r="P214" t="s">
        <v>459</v>
      </c>
      <c r="Q214" t="s">
        <v>278</v>
      </c>
      <c r="R214" t="s">
        <v>433</v>
      </c>
      <c r="S214">
        <v>1</v>
      </c>
      <c r="T214">
        <v>3</v>
      </c>
      <c r="U214">
        <v>0</v>
      </c>
      <c r="V214">
        <v>0</v>
      </c>
      <c r="W214">
        <v>3</v>
      </c>
      <c r="X214">
        <v>0</v>
      </c>
      <c r="Y214">
        <v>0</v>
      </c>
      <c r="Z214">
        <v>10</v>
      </c>
      <c r="AA214">
        <v>3</v>
      </c>
      <c r="AB214">
        <v>0</v>
      </c>
      <c r="AC214">
        <v>0</v>
      </c>
      <c r="AD214">
        <v>0</v>
      </c>
      <c r="AE214">
        <v>3</v>
      </c>
      <c r="AF214">
        <v>0</v>
      </c>
      <c r="AG214">
        <v>0</v>
      </c>
      <c r="AH214">
        <v>0</v>
      </c>
      <c r="AI214">
        <v>0</v>
      </c>
      <c r="AJ214">
        <v>0</v>
      </c>
      <c r="AK214">
        <v>0</v>
      </c>
      <c r="AL214">
        <v>0</v>
      </c>
      <c r="AM214">
        <v>0</v>
      </c>
      <c r="AN214">
        <v>0</v>
      </c>
      <c r="AO214">
        <v>0</v>
      </c>
      <c r="AP214">
        <v>0</v>
      </c>
      <c r="AQ214">
        <v>0</v>
      </c>
      <c r="AR214">
        <v>0</v>
      </c>
      <c r="AS214">
        <v>0</v>
      </c>
      <c r="AT214">
        <v>0</v>
      </c>
      <c r="AU214" t="s">
        <v>242</v>
      </c>
      <c r="AV214" t="s">
        <v>457</v>
      </c>
      <c r="AW214" t="s">
        <v>328</v>
      </c>
      <c r="AX214" t="s">
        <v>458</v>
      </c>
      <c r="AY214">
        <v>77087</v>
      </c>
      <c r="AZ214">
        <v>48201333000</v>
      </c>
      <c r="BA214" t="s">
        <v>329</v>
      </c>
      <c r="BB214" t="s">
        <v>330</v>
      </c>
      <c r="BC214">
        <v>53378</v>
      </c>
      <c r="BD214">
        <v>2840</v>
      </c>
      <c r="BE214" t="s">
        <v>407</v>
      </c>
      <c r="BF214" t="s">
        <v>407</v>
      </c>
      <c r="BG214" t="s">
        <v>407</v>
      </c>
    </row>
    <row r="215" spans="1:59" x14ac:dyDescent="0.3">
      <c r="A215">
        <v>677572</v>
      </c>
      <c r="B215">
        <v>19038959</v>
      </c>
      <c r="C215">
        <v>2022</v>
      </c>
      <c r="D215" s="62">
        <v>44768</v>
      </c>
      <c r="E215">
        <v>18</v>
      </c>
      <c r="F215" t="s">
        <v>318</v>
      </c>
      <c r="G215" t="s">
        <v>319</v>
      </c>
      <c r="H215" t="s">
        <v>473</v>
      </c>
      <c r="I215" t="s">
        <v>428</v>
      </c>
      <c r="J215">
        <v>29.675327660000001</v>
      </c>
      <c r="K215">
        <v>-95.289248520000001</v>
      </c>
      <c r="L215" t="s">
        <v>321</v>
      </c>
      <c r="M215" t="s">
        <v>322</v>
      </c>
      <c r="N215" t="s">
        <v>422</v>
      </c>
      <c r="O215" t="s">
        <v>324</v>
      </c>
      <c r="P215" t="s">
        <v>414</v>
      </c>
      <c r="Q215" t="s">
        <v>325</v>
      </c>
      <c r="R215" t="s">
        <v>428</v>
      </c>
      <c r="S215">
        <v>0</v>
      </c>
      <c r="T215">
        <v>0</v>
      </c>
      <c r="U215">
        <v>0</v>
      </c>
      <c r="V215">
        <v>0</v>
      </c>
      <c r="W215">
        <v>0</v>
      </c>
      <c r="X215">
        <v>2</v>
      </c>
      <c r="Y215">
        <v>0</v>
      </c>
      <c r="Z215">
        <v>0</v>
      </c>
      <c r="AA215">
        <v>0</v>
      </c>
      <c r="AB215">
        <v>0</v>
      </c>
      <c r="AC215">
        <v>0</v>
      </c>
      <c r="AD215">
        <v>2</v>
      </c>
      <c r="AE215">
        <v>0</v>
      </c>
      <c r="AF215">
        <v>0</v>
      </c>
      <c r="AG215">
        <v>0</v>
      </c>
      <c r="AH215">
        <v>0</v>
      </c>
      <c r="AI215">
        <v>0</v>
      </c>
      <c r="AJ215">
        <v>0</v>
      </c>
      <c r="AK215">
        <v>0</v>
      </c>
      <c r="AL215">
        <v>0</v>
      </c>
      <c r="AM215">
        <v>0</v>
      </c>
      <c r="AN215">
        <v>0</v>
      </c>
      <c r="AO215">
        <v>0</v>
      </c>
      <c r="AP215">
        <v>0</v>
      </c>
      <c r="AQ215">
        <v>0</v>
      </c>
      <c r="AR215">
        <v>0</v>
      </c>
      <c r="AS215">
        <v>0</v>
      </c>
      <c r="AT215">
        <v>0</v>
      </c>
      <c r="AU215" t="s">
        <v>242</v>
      </c>
      <c r="AV215" t="s">
        <v>457</v>
      </c>
      <c r="AW215" t="s">
        <v>328</v>
      </c>
      <c r="AX215" t="s">
        <v>458</v>
      </c>
      <c r="AY215">
        <v>77087</v>
      </c>
      <c r="AZ215">
        <v>48201333000</v>
      </c>
      <c r="BA215" t="s">
        <v>329</v>
      </c>
      <c r="BB215" t="s">
        <v>330</v>
      </c>
      <c r="BC215">
        <v>53378</v>
      </c>
      <c r="BD215">
        <v>2840</v>
      </c>
      <c r="BE215" t="s">
        <v>407</v>
      </c>
      <c r="BF215" t="s">
        <v>407</v>
      </c>
      <c r="BG215" t="s">
        <v>407</v>
      </c>
    </row>
    <row r="216" spans="1:59" x14ac:dyDescent="0.3">
      <c r="A216">
        <v>678795</v>
      </c>
      <c r="B216">
        <v>19044698</v>
      </c>
      <c r="C216">
        <v>2022</v>
      </c>
      <c r="D216" s="62">
        <v>44776</v>
      </c>
      <c r="E216">
        <v>18</v>
      </c>
      <c r="F216" t="s">
        <v>405</v>
      </c>
      <c r="G216" t="s">
        <v>319</v>
      </c>
      <c r="H216" t="s">
        <v>453</v>
      </c>
      <c r="I216" t="s">
        <v>437</v>
      </c>
      <c r="J216">
        <v>29.690717800000002</v>
      </c>
      <c r="K216">
        <v>-95.298773109999999</v>
      </c>
      <c r="L216" t="s">
        <v>321</v>
      </c>
      <c r="M216" t="s">
        <v>322</v>
      </c>
      <c r="N216" t="s">
        <v>323</v>
      </c>
      <c r="O216" t="s">
        <v>324</v>
      </c>
      <c r="P216" t="s">
        <v>414</v>
      </c>
      <c r="Q216" t="s">
        <v>325</v>
      </c>
      <c r="R216" t="s">
        <v>447</v>
      </c>
      <c r="S216">
        <v>0</v>
      </c>
      <c r="T216">
        <v>0</v>
      </c>
      <c r="U216">
        <v>0</v>
      </c>
      <c r="V216">
        <v>0</v>
      </c>
      <c r="W216">
        <v>0</v>
      </c>
      <c r="X216">
        <v>1</v>
      </c>
      <c r="Y216">
        <v>1</v>
      </c>
      <c r="Z216">
        <v>0</v>
      </c>
      <c r="AA216">
        <v>0</v>
      </c>
      <c r="AB216">
        <v>0</v>
      </c>
      <c r="AC216">
        <v>0</v>
      </c>
      <c r="AD216">
        <v>1</v>
      </c>
      <c r="AE216">
        <v>0</v>
      </c>
      <c r="AF216">
        <v>1</v>
      </c>
      <c r="AG216">
        <v>0</v>
      </c>
      <c r="AH216">
        <v>0</v>
      </c>
      <c r="AI216">
        <v>0</v>
      </c>
      <c r="AJ216">
        <v>0</v>
      </c>
      <c r="AK216">
        <v>0</v>
      </c>
      <c r="AL216">
        <v>0</v>
      </c>
      <c r="AM216">
        <v>0</v>
      </c>
      <c r="AN216">
        <v>0</v>
      </c>
      <c r="AO216">
        <v>0</v>
      </c>
      <c r="AP216">
        <v>0</v>
      </c>
      <c r="AQ216">
        <v>0</v>
      </c>
      <c r="AR216">
        <v>0</v>
      </c>
      <c r="AS216">
        <v>0</v>
      </c>
      <c r="AT216">
        <v>0</v>
      </c>
      <c r="AU216" t="s">
        <v>242</v>
      </c>
      <c r="AV216" t="s">
        <v>457</v>
      </c>
      <c r="AW216" t="s">
        <v>328</v>
      </c>
      <c r="AX216" t="s">
        <v>458</v>
      </c>
      <c r="AY216">
        <v>77087</v>
      </c>
      <c r="AZ216">
        <v>48201332900</v>
      </c>
      <c r="BA216" t="s">
        <v>329</v>
      </c>
      <c r="BB216" t="s">
        <v>330</v>
      </c>
      <c r="BC216">
        <v>54037</v>
      </c>
      <c r="BD216">
        <v>2892</v>
      </c>
      <c r="BE216" t="s">
        <v>407</v>
      </c>
      <c r="BF216" t="s">
        <v>407</v>
      </c>
      <c r="BG216" t="s">
        <v>407</v>
      </c>
    </row>
    <row r="217" spans="1:59" x14ac:dyDescent="0.3">
      <c r="A217">
        <v>679982</v>
      </c>
      <c r="B217">
        <v>19049196</v>
      </c>
      <c r="C217">
        <v>2022</v>
      </c>
      <c r="D217" s="62">
        <v>44777</v>
      </c>
      <c r="E217">
        <v>18</v>
      </c>
      <c r="F217" t="s">
        <v>425</v>
      </c>
      <c r="G217" t="s">
        <v>319</v>
      </c>
      <c r="H217" t="s">
        <v>482</v>
      </c>
      <c r="I217" t="s">
        <v>419</v>
      </c>
      <c r="J217">
        <v>29.681514369999999</v>
      </c>
      <c r="K217">
        <v>-95.293810199999996</v>
      </c>
      <c r="L217" t="s">
        <v>321</v>
      </c>
      <c r="M217" t="s">
        <v>322</v>
      </c>
      <c r="N217" t="s">
        <v>422</v>
      </c>
      <c r="O217" t="s">
        <v>462</v>
      </c>
      <c r="P217" t="s">
        <v>414</v>
      </c>
      <c r="Q217" t="s">
        <v>332</v>
      </c>
      <c r="R217" t="s">
        <v>426</v>
      </c>
      <c r="S217">
        <v>0</v>
      </c>
      <c r="T217">
        <v>0</v>
      </c>
      <c r="U217">
        <v>0</v>
      </c>
      <c r="V217">
        <v>0</v>
      </c>
      <c r="W217">
        <v>0</v>
      </c>
      <c r="X217">
        <v>1</v>
      </c>
      <c r="Y217">
        <v>1</v>
      </c>
      <c r="Z217">
        <v>0</v>
      </c>
      <c r="AA217">
        <v>0</v>
      </c>
      <c r="AB217">
        <v>0</v>
      </c>
      <c r="AC217">
        <v>0</v>
      </c>
      <c r="AD217">
        <v>1</v>
      </c>
      <c r="AE217">
        <v>0</v>
      </c>
      <c r="AF217">
        <v>1</v>
      </c>
      <c r="AG217">
        <v>0</v>
      </c>
      <c r="AH217">
        <v>0</v>
      </c>
      <c r="AI217">
        <v>0</v>
      </c>
      <c r="AJ217">
        <v>0</v>
      </c>
      <c r="AK217">
        <v>0</v>
      </c>
      <c r="AL217">
        <v>0</v>
      </c>
      <c r="AM217">
        <v>0</v>
      </c>
      <c r="AN217">
        <v>0</v>
      </c>
      <c r="AO217">
        <v>0</v>
      </c>
      <c r="AP217">
        <v>0</v>
      </c>
      <c r="AQ217">
        <v>0</v>
      </c>
      <c r="AR217">
        <v>0</v>
      </c>
      <c r="AS217">
        <v>0</v>
      </c>
      <c r="AT217">
        <v>0</v>
      </c>
      <c r="AU217" t="s">
        <v>242</v>
      </c>
      <c r="AV217" t="s">
        <v>457</v>
      </c>
      <c r="AW217" t="s">
        <v>328</v>
      </c>
      <c r="AX217" t="s">
        <v>458</v>
      </c>
      <c r="AY217">
        <v>77087</v>
      </c>
      <c r="AZ217">
        <v>48201333000</v>
      </c>
      <c r="BA217" t="s">
        <v>329</v>
      </c>
      <c r="BB217" t="s">
        <v>330</v>
      </c>
      <c r="BC217">
        <v>158977</v>
      </c>
      <c r="BD217">
        <v>2840</v>
      </c>
      <c r="BE217" t="s">
        <v>407</v>
      </c>
      <c r="BF217" t="s">
        <v>407</v>
      </c>
      <c r="BG217" t="s">
        <v>407</v>
      </c>
    </row>
    <row r="218" spans="1:59" x14ac:dyDescent="0.3">
      <c r="A218">
        <v>680095</v>
      </c>
      <c r="B218">
        <v>19049706</v>
      </c>
      <c r="C218">
        <v>2022</v>
      </c>
      <c r="D218" s="62">
        <v>44771</v>
      </c>
      <c r="E218">
        <v>12</v>
      </c>
      <c r="F218" t="s">
        <v>418</v>
      </c>
      <c r="G218" t="s">
        <v>319</v>
      </c>
      <c r="H218" t="s">
        <v>453</v>
      </c>
      <c r="I218" t="s">
        <v>423</v>
      </c>
      <c r="J218">
        <v>29.68872481</v>
      </c>
      <c r="K218">
        <v>-95.298763109999996</v>
      </c>
      <c r="L218" t="s">
        <v>321</v>
      </c>
      <c r="M218" t="s">
        <v>322</v>
      </c>
      <c r="N218" t="s">
        <v>448</v>
      </c>
      <c r="O218" t="s">
        <v>324</v>
      </c>
      <c r="P218" t="s">
        <v>428</v>
      </c>
      <c r="Q218" t="s">
        <v>331</v>
      </c>
      <c r="R218" t="s">
        <v>472</v>
      </c>
      <c r="S218">
        <v>0</v>
      </c>
      <c r="T218">
        <v>0</v>
      </c>
      <c r="U218">
        <v>0</v>
      </c>
      <c r="V218">
        <v>0</v>
      </c>
      <c r="W218">
        <v>0</v>
      </c>
      <c r="X218">
        <v>0</v>
      </c>
      <c r="Y218">
        <v>5</v>
      </c>
      <c r="Z218">
        <v>0</v>
      </c>
      <c r="AA218">
        <v>0</v>
      </c>
      <c r="AB218">
        <v>0</v>
      </c>
      <c r="AC218">
        <v>0</v>
      </c>
      <c r="AD218">
        <v>0</v>
      </c>
      <c r="AE218">
        <v>0</v>
      </c>
      <c r="AF218">
        <v>5</v>
      </c>
      <c r="AG218">
        <v>0</v>
      </c>
      <c r="AH218">
        <v>0</v>
      </c>
      <c r="AI218">
        <v>0</v>
      </c>
      <c r="AJ218">
        <v>0</v>
      </c>
      <c r="AK218">
        <v>0</v>
      </c>
      <c r="AL218">
        <v>0</v>
      </c>
      <c r="AM218">
        <v>0</v>
      </c>
      <c r="AN218">
        <v>0</v>
      </c>
      <c r="AO218">
        <v>0</v>
      </c>
      <c r="AP218">
        <v>0</v>
      </c>
      <c r="AQ218">
        <v>0</v>
      </c>
      <c r="AR218">
        <v>0</v>
      </c>
      <c r="AS218">
        <v>0</v>
      </c>
      <c r="AT218">
        <v>0</v>
      </c>
      <c r="AU218" t="s">
        <v>242</v>
      </c>
      <c r="AV218" t="s">
        <v>457</v>
      </c>
      <c r="AW218" t="s">
        <v>328</v>
      </c>
      <c r="AX218" t="s">
        <v>458</v>
      </c>
      <c r="AY218">
        <v>77087</v>
      </c>
      <c r="AZ218">
        <v>48201332800</v>
      </c>
      <c r="BA218" t="s">
        <v>329</v>
      </c>
      <c r="BB218" t="s">
        <v>330</v>
      </c>
      <c r="BC218">
        <v>54037</v>
      </c>
      <c r="BD218">
        <v>2892</v>
      </c>
      <c r="BE218" t="s">
        <v>407</v>
      </c>
      <c r="BF218" t="s">
        <v>407</v>
      </c>
      <c r="BG218" t="s">
        <v>407</v>
      </c>
    </row>
    <row r="219" spans="1:59" x14ac:dyDescent="0.3">
      <c r="A219">
        <v>682694</v>
      </c>
      <c r="B219">
        <v>19060624</v>
      </c>
      <c r="C219">
        <v>2022</v>
      </c>
      <c r="D219" s="62">
        <v>44786</v>
      </c>
      <c r="E219">
        <v>16</v>
      </c>
      <c r="F219" t="s">
        <v>436</v>
      </c>
      <c r="G219" t="s">
        <v>319</v>
      </c>
      <c r="H219" t="s">
        <v>453</v>
      </c>
      <c r="I219" t="s">
        <v>411</v>
      </c>
      <c r="J219">
        <v>29.687213280000002</v>
      </c>
      <c r="K219">
        <v>-95.297648749999993</v>
      </c>
      <c r="L219" t="s">
        <v>430</v>
      </c>
      <c r="M219" t="s">
        <v>322</v>
      </c>
      <c r="N219" t="s">
        <v>323</v>
      </c>
      <c r="O219" t="s">
        <v>462</v>
      </c>
      <c r="P219" t="s">
        <v>414</v>
      </c>
      <c r="Q219" t="s">
        <v>332</v>
      </c>
      <c r="R219" t="s">
        <v>406</v>
      </c>
      <c r="S219">
        <v>0</v>
      </c>
      <c r="T219">
        <v>0</v>
      </c>
      <c r="U219">
        <v>0</v>
      </c>
      <c r="V219">
        <v>0</v>
      </c>
      <c r="W219">
        <v>0</v>
      </c>
      <c r="X219">
        <v>1</v>
      </c>
      <c r="Y219">
        <v>0</v>
      </c>
      <c r="Z219">
        <v>0</v>
      </c>
      <c r="AA219">
        <v>0</v>
      </c>
      <c r="AB219">
        <v>0</v>
      </c>
      <c r="AC219">
        <v>0</v>
      </c>
      <c r="AD219">
        <v>1</v>
      </c>
      <c r="AE219">
        <v>0</v>
      </c>
      <c r="AF219">
        <v>0</v>
      </c>
      <c r="AG219">
        <v>0</v>
      </c>
      <c r="AH219">
        <v>0</v>
      </c>
      <c r="AI219">
        <v>0</v>
      </c>
      <c r="AJ219">
        <v>0</v>
      </c>
      <c r="AK219">
        <v>0</v>
      </c>
      <c r="AL219">
        <v>0</v>
      </c>
      <c r="AM219">
        <v>0</v>
      </c>
      <c r="AN219">
        <v>0</v>
      </c>
      <c r="AO219">
        <v>0</v>
      </c>
      <c r="AP219">
        <v>0</v>
      </c>
      <c r="AQ219">
        <v>0</v>
      </c>
      <c r="AR219">
        <v>0</v>
      </c>
      <c r="AS219">
        <v>0</v>
      </c>
      <c r="AT219">
        <v>0</v>
      </c>
      <c r="AU219" t="s">
        <v>242</v>
      </c>
      <c r="AV219" t="s">
        <v>457</v>
      </c>
      <c r="AW219" t="s">
        <v>328</v>
      </c>
      <c r="AX219" t="s">
        <v>458</v>
      </c>
      <c r="AY219">
        <v>77087</v>
      </c>
      <c r="AZ219">
        <v>48201332800</v>
      </c>
      <c r="BA219" t="s">
        <v>329</v>
      </c>
      <c r="BB219" t="s">
        <v>330</v>
      </c>
      <c r="BC219">
        <v>53817</v>
      </c>
      <c r="BD219">
        <v>2892</v>
      </c>
      <c r="BE219" t="s">
        <v>407</v>
      </c>
      <c r="BF219" t="s">
        <v>407</v>
      </c>
      <c r="BG219" t="s">
        <v>407</v>
      </c>
    </row>
    <row r="220" spans="1:59" x14ac:dyDescent="0.3">
      <c r="A220">
        <v>683367</v>
      </c>
      <c r="B220">
        <v>19062972</v>
      </c>
      <c r="C220">
        <v>2022</v>
      </c>
      <c r="D220" s="62">
        <v>44788</v>
      </c>
      <c r="E220">
        <v>15</v>
      </c>
      <c r="F220" t="s">
        <v>417</v>
      </c>
      <c r="G220" t="s">
        <v>319</v>
      </c>
      <c r="H220" t="s">
        <v>453</v>
      </c>
      <c r="I220" t="s">
        <v>411</v>
      </c>
      <c r="J220">
        <v>29.69351481</v>
      </c>
      <c r="K220">
        <v>-95.299363110000002</v>
      </c>
      <c r="L220" t="s">
        <v>321</v>
      </c>
      <c r="M220" t="s">
        <v>322</v>
      </c>
      <c r="N220" t="s">
        <v>429</v>
      </c>
      <c r="O220" t="s">
        <v>324</v>
      </c>
      <c r="P220" t="s">
        <v>414</v>
      </c>
      <c r="Q220" t="s">
        <v>331</v>
      </c>
      <c r="R220" t="s">
        <v>432</v>
      </c>
      <c r="S220">
        <v>0</v>
      </c>
      <c r="T220">
        <v>0</v>
      </c>
      <c r="U220">
        <v>0</v>
      </c>
      <c r="V220">
        <v>0</v>
      </c>
      <c r="W220">
        <v>0</v>
      </c>
      <c r="X220">
        <v>2</v>
      </c>
      <c r="Y220">
        <v>0</v>
      </c>
      <c r="Z220">
        <v>0</v>
      </c>
      <c r="AA220">
        <v>0</v>
      </c>
      <c r="AB220">
        <v>0</v>
      </c>
      <c r="AC220">
        <v>0</v>
      </c>
      <c r="AD220">
        <v>2</v>
      </c>
      <c r="AE220">
        <v>0</v>
      </c>
      <c r="AF220">
        <v>0</v>
      </c>
      <c r="AG220">
        <v>0</v>
      </c>
      <c r="AH220">
        <v>0</v>
      </c>
      <c r="AI220">
        <v>0</v>
      </c>
      <c r="AJ220">
        <v>0</v>
      </c>
      <c r="AK220">
        <v>0</v>
      </c>
      <c r="AL220">
        <v>0</v>
      </c>
      <c r="AM220">
        <v>0</v>
      </c>
      <c r="AN220">
        <v>0</v>
      </c>
      <c r="AO220">
        <v>0</v>
      </c>
      <c r="AP220">
        <v>0</v>
      </c>
      <c r="AQ220">
        <v>0</v>
      </c>
      <c r="AR220">
        <v>0</v>
      </c>
      <c r="AS220">
        <v>0</v>
      </c>
      <c r="AT220">
        <v>0</v>
      </c>
      <c r="AU220" t="s">
        <v>242</v>
      </c>
      <c r="AV220" t="s">
        <v>457</v>
      </c>
      <c r="AW220" t="s">
        <v>328</v>
      </c>
      <c r="AX220" t="s">
        <v>458</v>
      </c>
      <c r="AY220">
        <v>77087</v>
      </c>
      <c r="AZ220">
        <v>48201332900</v>
      </c>
      <c r="BA220" t="s">
        <v>329</v>
      </c>
      <c r="BB220" t="s">
        <v>330</v>
      </c>
      <c r="BC220">
        <v>54257</v>
      </c>
      <c r="BD220">
        <v>2892</v>
      </c>
      <c r="BE220" t="s">
        <v>407</v>
      </c>
      <c r="BF220" t="s">
        <v>407</v>
      </c>
      <c r="BG220" t="s">
        <v>407</v>
      </c>
    </row>
    <row r="221" spans="1:59" x14ac:dyDescent="0.3">
      <c r="A221">
        <v>684159</v>
      </c>
      <c r="B221">
        <v>19066124</v>
      </c>
      <c r="C221">
        <v>2022</v>
      </c>
      <c r="D221" s="62">
        <v>44786</v>
      </c>
      <c r="E221">
        <v>4</v>
      </c>
      <c r="F221" t="s">
        <v>436</v>
      </c>
      <c r="G221" t="s">
        <v>319</v>
      </c>
      <c r="H221" t="s">
        <v>453</v>
      </c>
      <c r="I221" t="s">
        <v>437</v>
      </c>
      <c r="J221">
        <v>29.695251720000002</v>
      </c>
      <c r="K221">
        <v>-95.300246560000005</v>
      </c>
      <c r="L221" t="s">
        <v>321</v>
      </c>
      <c r="M221" t="s">
        <v>431</v>
      </c>
      <c r="N221" t="s">
        <v>429</v>
      </c>
      <c r="O221" t="s">
        <v>324</v>
      </c>
      <c r="P221" t="s">
        <v>414</v>
      </c>
      <c r="Q221" t="s">
        <v>331</v>
      </c>
      <c r="R221" t="s">
        <v>434</v>
      </c>
      <c r="S221">
        <v>0</v>
      </c>
      <c r="T221">
        <v>0</v>
      </c>
      <c r="U221">
        <v>0</v>
      </c>
      <c r="V221">
        <v>0</v>
      </c>
      <c r="W221">
        <v>0</v>
      </c>
      <c r="X221">
        <v>1</v>
      </c>
      <c r="Y221">
        <v>1</v>
      </c>
      <c r="Z221">
        <v>0</v>
      </c>
      <c r="AA221">
        <v>0</v>
      </c>
      <c r="AB221">
        <v>0</v>
      </c>
      <c r="AC221">
        <v>0</v>
      </c>
      <c r="AD221">
        <v>1</v>
      </c>
      <c r="AE221">
        <v>0</v>
      </c>
      <c r="AF221">
        <v>1</v>
      </c>
      <c r="AG221">
        <v>0</v>
      </c>
      <c r="AH221">
        <v>0</v>
      </c>
      <c r="AI221">
        <v>0</v>
      </c>
      <c r="AJ221">
        <v>0</v>
      </c>
      <c r="AK221">
        <v>0</v>
      </c>
      <c r="AL221">
        <v>0</v>
      </c>
      <c r="AM221">
        <v>0</v>
      </c>
      <c r="AN221">
        <v>0</v>
      </c>
      <c r="AO221">
        <v>0</v>
      </c>
      <c r="AP221">
        <v>0</v>
      </c>
      <c r="AQ221">
        <v>0</v>
      </c>
      <c r="AR221">
        <v>0</v>
      </c>
      <c r="AS221">
        <v>0</v>
      </c>
      <c r="AT221">
        <v>0</v>
      </c>
      <c r="AU221" t="s">
        <v>242</v>
      </c>
      <c r="AV221" t="s">
        <v>457</v>
      </c>
      <c r="AW221" t="s">
        <v>328</v>
      </c>
      <c r="AX221" t="s">
        <v>458</v>
      </c>
      <c r="AY221">
        <v>77087</v>
      </c>
      <c r="AZ221">
        <v>48201332800</v>
      </c>
      <c r="BA221" t="s">
        <v>329</v>
      </c>
      <c r="BB221" t="s">
        <v>330</v>
      </c>
      <c r="BC221">
        <v>54257</v>
      </c>
      <c r="BD221">
        <v>2892</v>
      </c>
      <c r="BE221" t="s">
        <v>407</v>
      </c>
      <c r="BF221" t="s">
        <v>407</v>
      </c>
      <c r="BG221" t="s">
        <v>407</v>
      </c>
    </row>
    <row r="222" spans="1:59" x14ac:dyDescent="0.3">
      <c r="A222">
        <v>684329</v>
      </c>
      <c r="B222">
        <v>19066870</v>
      </c>
      <c r="C222">
        <v>2022</v>
      </c>
      <c r="D222" s="62">
        <v>44791</v>
      </c>
      <c r="E222">
        <v>15</v>
      </c>
      <c r="F222" t="s">
        <v>425</v>
      </c>
      <c r="G222" t="s">
        <v>319</v>
      </c>
      <c r="H222" t="s">
        <v>453</v>
      </c>
      <c r="I222" t="s">
        <v>320</v>
      </c>
      <c r="J222">
        <v>29.690758720000002</v>
      </c>
      <c r="K222">
        <v>-95.298773109999999</v>
      </c>
      <c r="L222" t="s">
        <v>321</v>
      </c>
      <c r="M222" t="s">
        <v>322</v>
      </c>
      <c r="N222" t="s">
        <v>323</v>
      </c>
      <c r="O222" t="s">
        <v>324</v>
      </c>
      <c r="P222" t="s">
        <v>283</v>
      </c>
      <c r="Q222" t="s">
        <v>325</v>
      </c>
      <c r="R222" t="s">
        <v>412</v>
      </c>
      <c r="S222">
        <v>0</v>
      </c>
      <c r="T222">
        <v>0</v>
      </c>
      <c r="U222">
        <v>0</v>
      </c>
      <c r="V222">
        <v>2</v>
      </c>
      <c r="W222">
        <v>2</v>
      </c>
      <c r="X222">
        <v>1</v>
      </c>
      <c r="Y222">
        <v>0</v>
      </c>
      <c r="Z222">
        <v>0</v>
      </c>
      <c r="AA222">
        <v>0</v>
      </c>
      <c r="AB222">
        <v>0</v>
      </c>
      <c r="AC222">
        <v>2</v>
      </c>
      <c r="AD222">
        <v>1</v>
      </c>
      <c r="AE222">
        <v>2</v>
      </c>
      <c r="AF222">
        <v>0</v>
      </c>
      <c r="AG222">
        <v>0</v>
      </c>
      <c r="AH222">
        <v>0</v>
      </c>
      <c r="AI222">
        <v>0</v>
      </c>
      <c r="AJ222">
        <v>0</v>
      </c>
      <c r="AK222">
        <v>0</v>
      </c>
      <c r="AL222">
        <v>0</v>
      </c>
      <c r="AM222">
        <v>0</v>
      </c>
      <c r="AN222">
        <v>0</v>
      </c>
      <c r="AO222">
        <v>0</v>
      </c>
      <c r="AP222">
        <v>0</v>
      </c>
      <c r="AQ222">
        <v>0</v>
      </c>
      <c r="AR222">
        <v>0</v>
      </c>
      <c r="AS222">
        <v>0</v>
      </c>
      <c r="AT222">
        <v>0</v>
      </c>
      <c r="AU222" t="s">
        <v>242</v>
      </c>
      <c r="AV222" t="s">
        <v>457</v>
      </c>
      <c r="AW222" t="s">
        <v>328</v>
      </c>
      <c r="AX222" t="s">
        <v>458</v>
      </c>
      <c r="AY222">
        <v>77087</v>
      </c>
      <c r="AZ222">
        <v>48201332900</v>
      </c>
      <c r="BA222" t="s">
        <v>329</v>
      </c>
      <c r="BB222" t="s">
        <v>330</v>
      </c>
      <c r="BC222">
        <v>54037</v>
      </c>
      <c r="BD222">
        <v>2892</v>
      </c>
      <c r="BE222" t="s">
        <v>407</v>
      </c>
      <c r="BF222" t="s">
        <v>407</v>
      </c>
      <c r="BG222" t="s">
        <v>407</v>
      </c>
    </row>
    <row r="223" spans="1:59" x14ac:dyDescent="0.3">
      <c r="A223">
        <v>687447</v>
      </c>
      <c r="B223">
        <v>19079905</v>
      </c>
      <c r="C223">
        <v>2022</v>
      </c>
      <c r="D223" s="62">
        <v>44797</v>
      </c>
      <c r="E223">
        <v>8</v>
      </c>
      <c r="F223" t="s">
        <v>405</v>
      </c>
      <c r="G223" t="s">
        <v>319</v>
      </c>
      <c r="H223" t="s">
        <v>453</v>
      </c>
      <c r="I223" t="s">
        <v>419</v>
      </c>
      <c r="J223">
        <v>29.689649639999999</v>
      </c>
      <c r="K223">
        <v>-95.298743110000004</v>
      </c>
      <c r="L223" t="s">
        <v>321</v>
      </c>
      <c r="M223" t="s">
        <v>322</v>
      </c>
      <c r="N223" t="s">
        <v>448</v>
      </c>
      <c r="O223" t="s">
        <v>324</v>
      </c>
      <c r="P223" t="s">
        <v>414</v>
      </c>
      <c r="Q223" t="s">
        <v>325</v>
      </c>
      <c r="R223" t="s">
        <v>447</v>
      </c>
      <c r="S223">
        <v>0</v>
      </c>
      <c r="T223">
        <v>0</v>
      </c>
      <c r="U223">
        <v>0</v>
      </c>
      <c r="V223">
        <v>0</v>
      </c>
      <c r="W223">
        <v>0</v>
      </c>
      <c r="X223">
        <v>6</v>
      </c>
      <c r="Y223">
        <v>0</v>
      </c>
      <c r="Z223">
        <v>0</v>
      </c>
      <c r="AA223">
        <v>0</v>
      </c>
      <c r="AB223">
        <v>0</v>
      </c>
      <c r="AC223">
        <v>0</v>
      </c>
      <c r="AD223">
        <v>6</v>
      </c>
      <c r="AE223">
        <v>0</v>
      </c>
      <c r="AF223">
        <v>0</v>
      </c>
      <c r="AG223">
        <v>0</v>
      </c>
      <c r="AH223">
        <v>0</v>
      </c>
      <c r="AI223">
        <v>0</v>
      </c>
      <c r="AJ223">
        <v>0</v>
      </c>
      <c r="AK223">
        <v>0</v>
      </c>
      <c r="AL223">
        <v>0</v>
      </c>
      <c r="AM223">
        <v>0</v>
      </c>
      <c r="AN223">
        <v>0</v>
      </c>
      <c r="AO223">
        <v>0</v>
      </c>
      <c r="AP223">
        <v>0</v>
      </c>
      <c r="AQ223">
        <v>0</v>
      </c>
      <c r="AR223">
        <v>0</v>
      </c>
      <c r="AS223">
        <v>0</v>
      </c>
      <c r="AT223">
        <v>0</v>
      </c>
      <c r="AU223" t="s">
        <v>242</v>
      </c>
      <c r="AV223" t="s">
        <v>457</v>
      </c>
      <c r="AW223" t="s">
        <v>328</v>
      </c>
      <c r="AX223" t="s">
        <v>458</v>
      </c>
      <c r="AY223">
        <v>77087</v>
      </c>
      <c r="AZ223">
        <v>48201332900</v>
      </c>
      <c r="BA223" t="s">
        <v>329</v>
      </c>
      <c r="BB223" t="s">
        <v>330</v>
      </c>
      <c r="BC223">
        <v>54037</v>
      </c>
      <c r="BD223">
        <v>2892</v>
      </c>
      <c r="BE223" t="s">
        <v>407</v>
      </c>
      <c r="BF223" t="s">
        <v>407</v>
      </c>
      <c r="BG223" t="s">
        <v>407</v>
      </c>
    </row>
    <row r="224" spans="1:59" x14ac:dyDescent="0.3">
      <c r="A224">
        <v>688188</v>
      </c>
      <c r="B224">
        <v>19082259</v>
      </c>
      <c r="C224">
        <v>2022</v>
      </c>
      <c r="D224" s="62">
        <v>44800</v>
      </c>
      <c r="E224">
        <v>20</v>
      </c>
      <c r="F224" t="s">
        <v>436</v>
      </c>
      <c r="G224" t="s">
        <v>319</v>
      </c>
      <c r="H224" t="s">
        <v>453</v>
      </c>
      <c r="I224" t="s">
        <v>320</v>
      </c>
      <c r="J224">
        <v>29.691314810000002</v>
      </c>
      <c r="K224">
        <v>-95.298783110000002</v>
      </c>
      <c r="L224" t="s">
        <v>321</v>
      </c>
      <c r="M224" t="s">
        <v>424</v>
      </c>
      <c r="N224" t="s">
        <v>429</v>
      </c>
      <c r="O224" t="s">
        <v>456</v>
      </c>
      <c r="P224" t="s">
        <v>283</v>
      </c>
      <c r="Q224" t="s">
        <v>331</v>
      </c>
      <c r="R224" t="s">
        <v>477</v>
      </c>
      <c r="S224">
        <v>0</v>
      </c>
      <c r="T224">
        <v>0</v>
      </c>
      <c r="U224">
        <v>0</v>
      </c>
      <c r="V224">
        <v>1</v>
      </c>
      <c r="W224">
        <v>1</v>
      </c>
      <c r="X224">
        <v>0</v>
      </c>
      <c r="Y224">
        <v>2</v>
      </c>
      <c r="Z224">
        <v>0</v>
      </c>
      <c r="AA224">
        <v>0</v>
      </c>
      <c r="AB224">
        <v>0</v>
      </c>
      <c r="AC224">
        <v>0</v>
      </c>
      <c r="AD224">
        <v>0</v>
      </c>
      <c r="AE224">
        <v>0</v>
      </c>
      <c r="AF224">
        <v>2</v>
      </c>
      <c r="AG224">
        <v>0</v>
      </c>
      <c r="AH224">
        <v>0</v>
      </c>
      <c r="AI224">
        <v>0</v>
      </c>
      <c r="AJ224">
        <v>1</v>
      </c>
      <c r="AK224">
        <v>0</v>
      </c>
      <c r="AL224">
        <v>1</v>
      </c>
      <c r="AM224">
        <v>0</v>
      </c>
      <c r="AN224">
        <v>0</v>
      </c>
      <c r="AO224">
        <v>0</v>
      </c>
      <c r="AP224">
        <v>0</v>
      </c>
      <c r="AQ224">
        <v>0</v>
      </c>
      <c r="AR224">
        <v>0</v>
      </c>
      <c r="AS224">
        <v>0</v>
      </c>
      <c r="AT224">
        <v>0</v>
      </c>
      <c r="AU224" t="s">
        <v>242</v>
      </c>
      <c r="AV224" t="s">
        <v>457</v>
      </c>
      <c r="AW224" t="s">
        <v>328</v>
      </c>
      <c r="AX224" t="s">
        <v>458</v>
      </c>
      <c r="AY224">
        <v>77087</v>
      </c>
      <c r="AZ224">
        <v>48201332900</v>
      </c>
      <c r="BA224" t="s">
        <v>329</v>
      </c>
      <c r="BB224" t="s">
        <v>330</v>
      </c>
      <c r="BC224">
        <v>54037</v>
      </c>
      <c r="BD224">
        <v>2892</v>
      </c>
      <c r="BE224" t="s">
        <v>407</v>
      </c>
      <c r="BF224" t="s">
        <v>407</v>
      </c>
      <c r="BG224" t="s">
        <v>407</v>
      </c>
    </row>
    <row r="225" spans="1:59" x14ac:dyDescent="0.3">
      <c r="A225">
        <v>689800</v>
      </c>
      <c r="B225">
        <v>19088853</v>
      </c>
      <c r="C225">
        <v>2022</v>
      </c>
      <c r="D225" s="62">
        <v>44802</v>
      </c>
      <c r="E225">
        <v>20</v>
      </c>
      <c r="F225" t="s">
        <v>417</v>
      </c>
      <c r="G225" t="s">
        <v>319</v>
      </c>
      <c r="H225" t="s">
        <v>453</v>
      </c>
      <c r="I225" t="s">
        <v>437</v>
      </c>
      <c r="J225">
        <v>29.68768657</v>
      </c>
      <c r="K225">
        <v>-95.297952159999994</v>
      </c>
      <c r="L225" t="s">
        <v>430</v>
      </c>
      <c r="M225" t="s">
        <v>431</v>
      </c>
      <c r="N225" t="s">
        <v>323</v>
      </c>
      <c r="O225" t="s">
        <v>324</v>
      </c>
      <c r="P225" t="s">
        <v>441</v>
      </c>
      <c r="Q225" t="s">
        <v>332</v>
      </c>
      <c r="R225" t="s">
        <v>471</v>
      </c>
      <c r="S225">
        <v>0</v>
      </c>
      <c r="T225">
        <v>1</v>
      </c>
      <c r="U225">
        <v>3</v>
      </c>
      <c r="V225">
        <v>0</v>
      </c>
      <c r="W225">
        <v>4</v>
      </c>
      <c r="X225">
        <v>0</v>
      </c>
      <c r="Y225">
        <v>0</v>
      </c>
      <c r="Z225">
        <v>0</v>
      </c>
      <c r="AA225">
        <v>1</v>
      </c>
      <c r="AB225">
        <v>3</v>
      </c>
      <c r="AC225">
        <v>0</v>
      </c>
      <c r="AD225">
        <v>0</v>
      </c>
      <c r="AE225">
        <v>4</v>
      </c>
      <c r="AF225">
        <v>0</v>
      </c>
      <c r="AG225">
        <v>0</v>
      </c>
      <c r="AH225">
        <v>0</v>
      </c>
      <c r="AI225">
        <v>0</v>
      </c>
      <c r="AJ225">
        <v>0</v>
      </c>
      <c r="AK225">
        <v>0</v>
      </c>
      <c r="AL225">
        <v>0</v>
      </c>
      <c r="AM225">
        <v>0</v>
      </c>
      <c r="AN225">
        <v>0</v>
      </c>
      <c r="AO225">
        <v>0</v>
      </c>
      <c r="AP225">
        <v>0</v>
      </c>
      <c r="AQ225">
        <v>0</v>
      </c>
      <c r="AR225">
        <v>0</v>
      </c>
      <c r="AS225">
        <v>0</v>
      </c>
      <c r="AT225">
        <v>0</v>
      </c>
      <c r="AU225" t="s">
        <v>242</v>
      </c>
      <c r="AV225" t="s">
        <v>457</v>
      </c>
      <c r="AW225" t="s">
        <v>328</v>
      </c>
      <c r="AX225" t="s">
        <v>458</v>
      </c>
      <c r="AY225">
        <v>77087</v>
      </c>
      <c r="AZ225">
        <v>48201332800</v>
      </c>
      <c r="BA225" t="s">
        <v>329</v>
      </c>
      <c r="BB225" t="s">
        <v>330</v>
      </c>
      <c r="BC225">
        <v>54037</v>
      </c>
      <c r="BD225">
        <v>2892</v>
      </c>
      <c r="BE225" t="s">
        <v>407</v>
      </c>
      <c r="BF225" t="s">
        <v>407</v>
      </c>
      <c r="BG225" t="s">
        <v>407</v>
      </c>
    </row>
    <row r="226" spans="1:59" x14ac:dyDescent="0.3">
      <c r="A226">
        <v>692891</v>
      </c>
      <c r="B226">
        <v>19100966</v>
      </c>
      <c r="C226">
        <v>2022</v>
      </c>
      <c r="D226" s="62">
        <v>44811</v>
      </c>
      <c r="E226">
        <v>11</v>
      </c>
      <c r="F226" t="s">
        <v>405</v>
      </c>
      <c r="G226" t="s">
        <v>319</v>
      </c>
      <c r="H226" t="s">
        <v>453</v>
      </c>
      <c r="I226" t="s">
        <v>419</v>
      </c>
      <c r="J226">
        <v>29.691314810000002</v>
      </c>
      <c r="K226">
        <v>-95.298783110000002</v>
      </c>
      <c r="L226" t="s">
        <v>321</v>
      </c>
      <c r="M226" t="s">
        <v>322</v>
      </c>
      <c r="N226" t="s">
        <v>429</v>
      </c>
      <c r="O226" t="s">
        <v>324</v>
      </c>
      <c r="P226" t="s">
        <v>414</v>
      </c>
      <c r="Q226" t="s">
        <v>278</v>
      </c>
      <c r="R226" t="s">
        <v>412</v>
      </c>
      <c r="S226">
        <v>0</v>
      </c>
      <c r="T226">
        <v>0</v>
      </c>
      <c r="U226">
        <v>0</v>
      </c>
      <c r="V226">
        <v>0</v>
      </c>
      <c r="W226">
        <v>0</v>
      </c>
      <c r="X226">
        <v>1</v>
      </c>
      <c r="Y226">
        <v>1</v>
      </c>
      <c r="Z226">
        <v>0</v>
      </c>
      <c r="AA226">
        <v>0</v>
      </c>
      <c r="AB226">
        <v>0</v>
      </c>
      <c r="AC226">
        <v>0</v>
      </c>
      <c r="AD226">
        <v>1</v>
      </c>
      <c r="AE226">
        <v>0</v>
      </c>
      <c r="AF226">
        <v>1</v>
      </c>
      <c r="AG226">
        <v>0</v>
      </c>
      <c r="AH226">
        <v>0</v>
      </c>
      <c r="AI226">
        <v>0</v>
      </c>
      <c r="AJ226">
        <v>0</v>
      </c>
      <c r="AK226">
        <v>0</v>
      </c>
      <c r="AL226">
        <v>0</v>
      </c>
      <c r="AM226">
        <v>0</v>
      </c>
      <c r="AN226">
        <v>0</v>
      </c>
      <c r="AO226">
        <v>0</v>
      </c>
      <c r="AP226">
        <v>0</v>
      </c>
      <c r="AQ226">
        <v>0</v>
      </c>
      <c r="AR226">
        <v>0</v>
      </c>
      <c r="AS226">
        <v>0</v>
      </c>
      <c r="AT226">
        <v>0</v>
      </c>
      <c r="AU226" t="s">
        <v>242</v>
      </c>
      <c r="AV226" t="s">
        <v>457</v>
      </c>
      <c r="AW226" t="s">
        <v>328</v>
      </c>
      <c r="AX226" t="s">
        <v>458</v>
      </c>
      <c r="AY226">
        <v>77087</v>
      </c>
      <c r="AZ226">
        <v>48201332900</v>
      </c>
      <c r="BA226" t="s">
        <v>329</v>
      </c>
      <c r="BB226" t="s">
        <v>330</v>
      </c>
      <c r="BC226">
        <v>54037</v>
      </c>
      <c r="BD226">
        <v>2892</v>
      </c>
      <c r="BE226" t="s">
        <v>407</v>
      </c>
      <c r="BF226" t="s">
        <v>407</v>
      </c>
      <c r="BG226" t="s">
        <v>407</v>
      </c>
    </row>
    <row r="227" spans="1:59" x14ac:dyDescent="0.3">
      <c r="A227">
        <v>698469</v>
      </c>
      <c r="B227">
        <v>19124514</v>
      </c>
      <c r="C227">
        <v>2022</v>
      </c>
      <c r="D227" s="62">
        <v>44821</v>
      </c>
      <c r="E227">
        <v>8</v>
      </c>
      <c r="F227" t="s">
        <v>436</v>
      </c>
      <c r="G227" t="s">
        <v>319</v>
      </c>
      <c r="H227" t="s">
        <v>506</v>
      </c>
      <c r="I227" t="s">
        <v>411</v>
      </c>
      <c r="J227">
        <v>29.678464819999999</v>
      </c>
      <c r="K227">
        <v>-95.291713110000003</v>
      </c>
      <c r="L227" t="s">
        <v>321</v>
      </c>
      <c r="M227" t="s">
        <v>322</v>
      </c>
      <c r="N227" t="s">
        <v>323</v>
      </c>
      <c r="O227" t="s">
        <v>445</v>
      </c>
      <c r="P227" t="s">
        <v>414</v>
      </c>
      <c r="Q227" t="s">
        <v>332</v>
      </c>
      <c r="R227" t="s">
        <v>426</v>
      </c>
      <c r="S227">
        <v>0</v>
      </c>
      <c r="T227">
        <v>0</v>
      </c>
      <c r="U227">
        <v>0</v>
      </c>
      <c r="V227">
        <v>0</v>
      </c>
      <c r="W227">
        <v>0</v>
      </c>
      <c r="X227">
        <v>1</v>
      </c>
      <c r="Y227">
        <v>0</v>
      </c>
      <c r="Z227">
        <v>0</v>
      </c>
      <c r="AA227">
        <v>0</v>
      </c>
      <c r="AB227">
        <v>0</v>
      </c>
      <c r="AC227">
        <v>0</v>
      </c>
      <c r="AD227">
        <v>1</v>
      </c>
      <c r="AE227">
        <v>0</v>
      </c>
      <c r="AF227">
        <v>0</v>
      </c>
      <c r="AG227">
        <v>0</v>
      </c>
      <c r="AH227">
        <v>0</v>
      </c>
      <c r="AI227">
        <v>0</v>
      </c>
      <c r="AJ227">
        <v>0</v>
      </c>
      <c r="AK227">
        <v>0</v>
      </c>
      <c r="AL227">
        <v>0</v>
      </c>
      <c r="AM227">
        <v>0</v>
      </c>
      <c r="AN227">
        <v>0</v>
      </c>
      <c r="AO227">
        <v>0</v>
      </c>
      <c r="AP227">
        <v>0</v>
      </c>
      <c r="AQ227">
        <v>0</v>
      </c>
      <c r="AR227">
        <v>0</v>
      </c>
      <c r="AS227">
        <v>0</v>
      </c>
      <c r="AT227">
        <v>0</v>
      </c>
      <c r="AU227" t="s">
        <v>242</v>
      </c>
      <c r="AV227" t="s">
        <v>457</v>
      </c>
      <c r="AW227" t="s">
        <v>328</v>
      </c>
      <c r="AX227" t="s">
        <v>458</v>
      </c>
      <c r="AY227">
        <v>77087</v>
      </c>
      <c r="AZ227">
        <v>48201333000</v>
      </c>
      <c r="BA227" t="s">
        <v>329</v>
      </c>
      <c r="BB227" t="s">
        <v>330</v>
      </c>
      <c r="BC227">
        <v>158977</v>
      </c>
      <c r="BD227">
        <v>2840</v>
      </c>
      <c r="BE227" t="s">
        <v>470</v>
      </c>
      <c r="BF227" t="s">
        <v>407</v>
      </c>
      <c r="BG227" t="s">
        <v>407</v>
      </c>
    </row>
    <row r="228" spans="1:59" x14ac:dyDescent="0.3">
      <c r="A228">
        <v>705552</v>
      </c>
      <c r="B228">
        <v>19153701</v>
      </c>
      <c r="C228">
        <v>2022</v>
      </c>
      <c r="D228" s="62">
        <v>44836</v>
      </c>
      <c r="E228">
        <v>4</v>
      </c>
      <c r="F228" t="s">
        <v>408</v>
      </c>
      <c r="G228" t="s">
        <v>319</v>
      </c>
      <c r="H228" t="s">
        <v>482</v>
      </c>
      <c r="I228" t="s">
        <v>437</v>
      </c>
      <c r="J228">
        <v>29.681455639999999</v>
      </c>
      <c r="K228">
        <v>-95.293952660000002</v>
      </c>
      <c r="L228" t="s">
        <v>321</v>
      </c>
      <c r="M228" t="s">
        <v>428</v>
      </c>
      <c r="N228" t="s">
        <v>323</v>
      </c>
      <c r="O228" t="s">
        <v>445</v>
      </c>
      <c r="P228" t="s">
        <v>428</v>
      </c>
      <c r="Q228" t="s">
        <v>278</v>
      </c>
      <c r="R228" t="s">
        <v>426</v>
      </c>
      <c r="S228">
        <v>0</v>
      </c>
      <c r="T228">
        <v>0</v>
      </c>
      <c r="U228">
        <v>0</v>
      </c>
      <c r="V228">
        <v>0</v>
      </c>
      <c r="W228">
        <v>0</v>
      </c>
      <c r="X228">
        <v>0</v>
      </c>
      <c r="Y228">
        <v>1</v>
      </c>
      <c r="Z228">
        <v>0</v>
      </c>
      <c r="AA228">
        <v>0</v>
      </c>
      <c r="AB228">
        <v>0</v>
      </c>
      <c r="AC228">
        <v>0</v>
      </c>
      <c r="AD228">
        <v>0</v>
      </c>
      <c r="AE228">
        <v>0</v>
      </c>
      <c r="AF228">
        <v>1</v>
      </c>
      <c r="AG228">
        <v>0</v>
      </c>
      <c r="AH228">
        <v>0</v>
      </c>
      <c r="AI228">
        <v>0</v>
      </c>
      <c r="AJ228">
        <v>0</v>
      </c>
      <c r="AK228">
        <v>0</v>
      </c>
      <c r="AL228">
        <v>0</v>
      </c>
      <c r="AM228">
        <v>0</v>
      </c>
      <c r="AN228">
        <v>0</v>
      </c>
      <c r="AO228">
        <v>0</v>
      </c>
      <c r="AP228">
        <v>0</v>
      </c>
      <c r="AQ228">
        <v>0</v>
      </c>
      <c r="AR228">
        <v>0</v>
      </c>
      <c r="AS228">
        <v>0</v>
      </c>
      <c r="AT228">
        <v>0</v>
      </c>
      <c r="AU228" t="s">
        <v>242</v>
      </c>
      <c r="AV228" t="s">
        <v>457</v>
      </c>
      <c r="AW228" t="s">
        <v>328</v>
      </c>
      <c r="AX228" t="s">
        <v>458</v>
      </c>
      <c r="AY228">
        <v>77087</v>
      </c>
      <c r="AZ228">
        <v>48201332700</v>
      </c>
      <c r="BA228" t="s">
        <v>329</v>
      </c>
      <c r="BB228" t="s">
        <v>330</v>
      </c>
      <c r="BC228">
        <v>158977</v>
      </c>
      <c r="BD228">
        <v>2840</v>
      </c>
      <c r="BE228" t="s">
        <v>407</v>
      </c>
      <c r="BF228" t="s">
        <v>407</v>
      </c>
      <c r="BG228" t="s">
        <v>407</v>
      </c>
    </row>
    <row r="229" spans="1:59" x14ac:dyDescent="0.3">
      <c r="A229">
        <v>706675</v>
      </c>
      <c r="B229">
        <v>19157889</v>
      </c>
      <c r="C229">
        <v>2022</v>
      </c>
      <c r="D229" s="62">
        <v>44837</v>
      </c>
      <c r="E229">
        <v>6</v>
      </c>
      <c r="F229" t="s">
        <v>417</v>
      </c>
      <c r="G229" t="s">
        <v>319</v>
      </c>
      <c r="H229" t="s">
        <v>467</v>
      </c>
      <c r="I229" t="s">
        <v>437</v>
      </c>
      <c r="J229">
        <v>29.691314810000002</v>
      </c>
      <c r="K229">
        <v>-95.298783110000002</v>
      </c>
      <c r="L229" t="s">
        <v>321</v>
      </c>
      <c r="M229" t="s">
        <v>322</v>
      </c>
      <c r="N229" t="s">
        <v>429</v>
      </c>
      <c r="O229" t="s">
        <v>324</v>
      </c>
      <c r="P229" t="s">
        <v>283</v>
      </c>
      <c r="Q229" t="s">
        <v>331</v>
      </c>
      <c r="R229" t="s">
        <v>434</v>
      </c>
      <c r="S229">
        <v>0</v>
      </c>
      <c r="T229">
        <v>0</v>
      </c>
      <c r="U229">
        <v>0</v>
      </c>
      <c r="V229">
        <v>1</v>
      </c>
      <c r="W229">
        <v>1</v>
      </c>
      <c r="X229">
        <v>9</v>
      </c>
      <c r="Y229">
        <v>0</v>
      </c>
      <c r="Z229">
        <v>0</v>
      </c>
      <c r="AA229">
        <v>0</v>
      </c>
      <c r="AB229">
        <v>0</v>
      </c>
      <c r="AC229">
        <v>1</v>
      </c>
      <c r="AD229">
        <v>9</v>
      </c>
      <c r="AE229">
        <v>1</v>
      </c>
      <c r="AF229">
        <v>0</v>
      </c>
      <c r="AG229">
        <v>0</v>
      </c>
      <c r="AH229">
        <v>0</v>
      </c>
      <c r="AI229">
        <v>0</v>
      </c>
      <c r="AJ229">
        <v>0</v>
      </c>
      <c r="AK229">
        <v>0</v>
      </c>
      <c r="AL229">
        <v>0</v>
      </c>
      <c r="AM229">
        <v>0</v>
      </c>
      <c r="AN229">
        <v>0</v>
      </c>
      <c r="AO229">
        <v>0</v>
      </c>
      <c r="AP229">
        <v>0</v>
      </c>
      <c r="AQ229">
        <v>0</v>
      </c>
      <c r="AR229">
        <v>0</v>
      </c>
      <c r="AS229">
        <v>0</v>
      </c>
      <c r="AT229">
        <v>0</v>
      </c>
      <c r="AU229" t="s">
        <v>242</v>
      </c>
      <c r="AV229" t="s">
        <v>457</v>
      </c>
      <c r="AW229" t="s">
        <v>328</v>
      </c>
      <c r="AX229" t="s">
        <v>458</v>
      </c>
      <c r="AY229">
        <v>77087</v>
      </c>
      <c r="AZ229">
        <v>48201332900</v>
      </c>
      <c r="BA229" t="s">
        <v>329</v>
      </c>
      <c r="BB229" t="s">
        <v>330</v>
      </c>
      <c r="BC229">
        <v>54037</v>
      </c>
      <c r="BD229">
        <v>2892</v>
      </c>
      <c r="BE229" t="s">
        <v>407</v>
      </c>
      <c r="BF229" t="s">
        <v>407</v>
      </c>
      <c r="BG229" t="s">
        <v>407</v>
      </c>
    </row>
    <row r="230" spans="1:59" x14ac:dyDescent="0.3">
      <c r="A230">
        <v>713090</v>
      </c>
      <c r="B230">
        <v>19184409</v>
      </c>
      <c r="C230">
        <v>2022</v>
      </c>
      <c r="D230" s="62">
        <v>44850</v>
      </c>
      <c r="E230">
        <v>13</v>
      </c>
      <c r="F230" t="s">
        <v>408</v>
      </c>
      <c r="G230" t="s">
        <v>319</v>
      </c>
      <c r="H230" t="s">
        <v>473</v>
      </c>
      <c r="I230" t="s">
        <v>411</v>
      </c>
      <c r="J230">
        <v>29.67510352</v>
      </c>
      <c r="K230">
        <v>-95.289242439999995</v>
      </c>
      <c r="L230" t="s">
        <v>321</v>
      </c>
      <c r="M230" t="s">
        <v>322</v>
      </c>
      <c r="N230" t="s">
        <v>323</v>
      </c>
      <c r="O230" t="s">
        <v>324</v>
      </c>
      <c r="P230" t="s">
        <v>283</v>
      </c>
      <c r="Q230" t="s">
        <v>325</v>
      </c>
      <c r="R230" t="s">
        <v>406</v>
      </c>
      <c r="S230">
        <v>0</v>
      </c>
      <c r="T230">
        <v>0</v>
      </c>
      <c r="U230">
        <v>0</v>
      </c>
      <c r="V230">
        <v>1</v>
      </c>
      <c r="W230">
        <v>1</v>
      </c>
      <c r="X230">
        <v>2</v>
      </c>
      <c r="Y230">
        <v>0</v>
      </c>
      <c r="Z230">
        <v>0</v>
      </c>
      <c r="AA230">
        <v>0</v>
      </c>
      <c r="AB230">
        <v>0</v>
      </c>
      <c r="AC230">
        <v>1</v>
      </c>
      <c r="AD230">
        <v>2</v>
      </c>
      <c r="AE230">
        <v>1</v>
      </c>
      <c r="AF230">
        <v>0</v>
      </c>
      <c r="AG230">
        <v>0</v>
      </c>
      <c r="AH230">
        <v>0</v>
      </c>
      <c r="AI230">
        <v>0</v>
      </c>
      <c r="AJ230">
        <v>0</v>
      </c>
      <c r="AK230">
        <v>0</v>
      </c>
      <c r="AL230">
        <v>0</v>
      </c>
      <c r="AM230">
        <v>0</v>
      </c>
      <c r="AN230">
        <v>0</v>
      </c>
      <c r="AO230">
        <v>0</v>
      </c>
      <c r="AP230">
        <v>0</v>
      </c>
      <c r="AQ230">
        <v>0</v>
      </c>
      <c r="AR230">
        <v>0</v>
      </c>
      <c r="AS230">
        <v>0</v>
      </c>
      <c r="AT230">
        <v>0</v>
      </c>
      <c r="AU230" t="s">
        <v>242</v>
      </c>
      <c r="AV230" t="s">
        <v>457</v>
      </c>
      <c r="AW230" t="s">
        <v>328</v>
      </c>
      <c r="AX230" t="s">
        <v>458</v>
      </c>
      <c r="AY230">
        <v>77087</v>
      </c>
      <c r="AZ230">
        <v>48201333000</v>
      </c>
      <c r="BA230" t="s">
        <v>329</v>
      </c>
      <c r="BB230" t="s">
        <v>330</v>
      </c>
      <c r="BC230">
        <v>53378</v>
      </c>
      <c r="BD230">
        <v>2840</v>
      </c>
      <c r="BE230" t="s">
        <v>407</v>
      </c>
      <c r="BF230" t="s">
        <v>407</v>
      </c>
      <c r="BG230" t="s">
        <v>407</v>
      </c>
    </row>
    <row r="231" spans="1:59" x14ac:dyDescent="0.3">
      <c r="A231">
        <v>717033</v>
      </c>
      <c r="B231">
        <v>19201170</v>
      </c>
      <c r="C231">
        <v>2022</v>
      </c>
      <c r="D231" s="62">
        <v>44830</v>
      </c>
      <c r="E231">
        <v>14</v>
      </c>
      <c r="F231" t="s">
        <v>417</v>
      </c>
      <c r="G231" t="s">
        <v>319</v>
      </c>
      <c r="H231" t="s">
        <v>453</v>
      </c>
      <c r="I231" t="s">
        <v>437</v>
      </c>
      <c r="J231">
        <v>29.693259810000001</v>
      </c>
      <c r="K231">
        <v>-95.299253109999995</v>
      </c>
      <c r="L231" t="s">
        <v>321</v>
      </c>
      <c r="M231" t="s">
        <v>322</v>
      </c>
      <c r="N231" t="s">
        <v>323</v>
      </c>
      <c r="O231" t="s">
        <v>324</v>
      </c>
      <c r="P231" t="s">
        <v>414</v>
      </c>
      <c r="Q231" t="s">
        <v>278</v>
      </c>
      <c r="R231" t="s">
        <v>416</v>
      </c>
      <c r="S231">
        <v>0</v>
      </c>
      <c r="T231">
        <v>0</v>
      </c>
      <c r="U231">
        <v>0</v>
      </c>
      <c r="V231">
        <v>0</v>
      </c>
      <c r="W231">
        <v>0</v>
      </c>
      <c r="X231">
        <v>4</v>
      </c>
      <c r="Y231">
        <v>0</v>
      </c>
      <c r="Z231">
        <v>0</v>
      </c>
      <c r="AA231">
        <v>0</v>
      </c>
      <c r="AB231">
        <v>0</v>
      </c>
      <c r="AC231">
        <v>0</v>
      </c>
      <c r="AD231">
        <v>4</v>
      </c>
      <c r="AE231">
        <v>0</v>
      </c>
      <c r="AF231">
        <v>0</v>
      </c>
      <c r="AG231">
        <v>0</v>
      </c>
      <c r="AH231">
        <v>0</v>
      </c>
      <c r="AI231">
        <v>0</v>
      </c>
      <c r="AJ231">
        <v>0</v>
      </c>
      <c r="AK231">
        <v>0</v>
      </c>
      <c r="AL231">
        <v>0</v>
      </c>
      <c r="AM231">
        <v>0</v>
      </c>
      <c r="AN231">
        <v>0</v>
      </c>
      <c r="AO231">
        <v>0</v>
      </c>
      <c r="AP231">
        <v>0</v>
      </c>
      <c r="AQ231">
        <v>0</v>
      </c>
      <c r="AR231">
        <v>0</v>
      </c>
      <c r="AS231">
        <v>0</v>
      </c>
      <c r="AT231">
        <v>0</v>
      </c>
      <c r="AU231" t="s">
        <v>242</v>
      </c>
      <c r="AV231" t="s">
        <v>457</v>
      </c>
      <c r="AW231" t="s">
        <v>328</v>
      </c>
      <c r="AX231" t="s">
        <v>458</v>
      </c>
      <c r="AY231">
        <v>77087</v>
      </c>
      <c r="AZ231">
        <v>48201332800</v>
      </c>
      <c r="BA231" t="s">
        <v>329</v>
      </c>
      <c r="BB231" t="s">
        <v>330</v>
      </c>
      <c r="BC231">
        <v>54037</v>
      </c>
      <c r="BD231">
        <v>2892</v>
      </c>
      <c r="BE231" t="s">
        <v>407</v>
      </c>
      <c r="BF231" t="s">
        <v>407</v>
      </c>
      <c r="BG231" t="s">
        <v>407</v>
      </c>
    </row>
    <row r="232" spans="1:59" x14ac:dyDescent="0.3">
      <c r="A232">
        <v>718033</v>
      </c>
      <c r="B232">
        <v>19204916</v>
      </c>
      <c r="C232">
        <v>2022</v>
      </c>
      <c r="D232" s="62">
        <v>44865</v>
      </c>
      <c r="E232">
        <v>17</v>
      </c>
      <c r="F232" t="s">
        <v>417</v>
      </c>
      <c r="G232" t="s">
        <v>319</v>
      </c>
      <c r="H232" t="s">
        <v>453</v>
      </c>
      <c r="I232" t="s">
        <v>320</v>
      </c>
      <c r="J232">
        <v>29.69345075</v>
      </c>
      <c r="K232">
        <v>-95.299335080000006</v>
      </c>
      <c r="L232" t="s">
        <v>321</v>
      </c>
      <c r="M232" t="s">
        <v>322</v>
      </c>
      <c r="N232" t="s">
        <v>323</v>
      </c>
      <c r="O232" t="s">
        <v>324</v>
      </c>
      <c r="P232" t="s">
        <v>414</v>
      </c>
      <c r="Q232" t="s">
        <v>331</v>
      </c>
      <c r="R232" t="s">
        <v>415</v>
      </c>
      <c r="S232">
        <v>0</v>
      </c>
      <c r="T232">
        <v>0</v>
      </c>
      <c r="U232">
        <v>0</v>
      </c>
      <c r="V232">
        <v>0</v>
      </c>
      <c r="W232">
        <v>0</v>
      </c>
      <c r="X232">
        <v>2</v>
      </c>
      <c r="Y232">
        <v>0</v>
      </c>
      <c r="Z232">
        <v>0</v>
      </c>
      <c r="AA232">
        <v>0</v>
      </c>
      <c r="AB232">
        <v>0</v>
      </c>
      <c r="AC232">
        <v>0</v>
      </c>
      <c r="AD232">
        <v>2</v>
      </c>
      <c r="AE232">
        <v>0</v>
      </c>
      <c r="AF232">
        <v>0</v>
      </c>
      <c r="AG232">
        <v>0</v>
      </c>
      <c r="AH232">
        <v>0</v>
      </c>
      <c r="AI232">
        <v>0</v>
      </c>
      <c r="AJ232">
        <v>0</v>
      </c>
      <c r="AK232">
        <v>0</v>
      </c>
      <c r="AL232">
        <v>0</v>
      </c>
      <c r="AM232">
        <v>0</v>
      </c>
      <c r="AN232">
        <v>0</v>
      </c>
      <c r="AO232">
        <v>0</v>
      </c>
      <c r="AP232">
        <v>0</v>
      </c>
      <c r="AQ232">
        <v>0</v>
      </c>
      <c r="AR232">
        <v>0</v>
      </c>
      <c r="AS232">
        <v>0</v>
      </c>
      <c r="AT232">
        <v>0</v>
      </c>
      <c r="AU232" t="s">
        <v>242</v>
      </c>
      <c r="AV232" t="s">
        <v>457</v>
      </c>
      <c r="AW232" t="s">
        <v>328</v>
      </c>
      <c r="AX232" t="s">
        <v>458</v>
      </c>
      <c r="AY232">
        <v>77087</v>
      </c>
      <c r="AZ232">
        <v>48201332900</v>
      </c>
      <c r="BA232" t="s">
        <v>329</v>
      </c>
      <c r="BB232" t="s">
        <v>330</v>
      </c>
      <c r="BC232">
        <v>54257</v>
      </c>
      <c r="BD232">
        <v>2892</v>
      </c>
      <c r="BE232" t="s">
        <v>407</v>
      </c>
      <c r="BF232" t="s">
        <v>407</v>
      </c>
      <c r="BG232" t="s">
        <v>407</v>
      </c>
    </row>
    <row r="233" spans="1:59" x14ac:dyDescent="0.3">
      <c r="A233">
        <v>723645</v>
      </c>
      <c r="B233">
        <v>19226527</v>
      </c>
      <c r="C233">
        <v>2022</v>
      </c>
      <c r="D233" s="62">
        <v>44876</v>
      </c>
      <c r="E233">
        <v>15</v>
      </c>
      <c r="F233" t="s">
        <v>418</v>
      </c>
      <c r="G233" t="s">
        <v>319</v>
      </c>
      <c r="H233" t="s">
        <v>453</v>
      </c>
      <c r="I233" t="s">
        <v>411</v>
      </c>
      <c r="J233">
        <v>29.680186580000001</v>
      </c>
      <c r="K233">
        <v>-95.293178409999996</v>
      </c>
      <c r="L233" t="s">
        <v>420</v>
      </c>
      <c r="M233" t="s">
        <v>322</v>
      </c>
      <c r="N233" t="s">
        <v>323</v>
      </c>
      <c r="O233" t="s">
        <v>324</v>
      </c>
      <c r="P233" t="s">
        <v>410</v>
      </c>
      <c r="Q233" t="s">
        <v>278</v>
      </c>
      <c r="R233" t="s">
        <v>406</v>
      </c>
      <c r="S233">
        <v>0</v>
      </c>
      <c r="T233">
        <v>0</v>
      </c>
      <c r="U233">
        <v>1</v>
      </c>
      <c r="V233">
        <v>0</v>
      </c>
      <c r="W233">
        <v>1</v>
      </c>
      <c r="X233">
        <v>1</v>
      </c>
      <c r="Y233">
        <v>0</v>
      </c>
      <c r="Z233">
        <v>0</v>
      </c>
      <c r="AA233">
        <v>0</v>
      </c>
      <c r="AB233">
        <v>1</v>
      </c>
      <c r="AC233">
        <v>0</v>
      </c>
      <c r="AD233">
        <v>1</v>
      </c>
      <c r="AE233">
        <v>1</v>
      </c>
      <c r="AF233">
        <v>0</v>
      </c>
      <c r="AG233">
        <v>0</v>
      </c>
      <c r="AH233">
        <v>0</v>
      </c>
      <c r="AI233">
        <v>0</v>
      </c>
      <c r="AJ233">
        <v>0</v>
      </c>
      <c r="AK233">
        <v>0</v>
      </c>
      <c r="AL233">
        <v>0</v>
      </c>
      <c r="AM233">
        <v>0</v>
      </c>
      <c r="AN233">
        <v>0</v>
      </c>
      <c r="AO233">
        <v>0</v>
      </c>
      <c r="AP233">
        <v>0</v>
      </c>
      <c r="AQ233">
        <v>0</v>
      </c>
      <c r="AR233">
        <v>0</v>
      </c>
      <c r="AS233">
        <v>0</v>
      </c>
      <c r="AT233">
        <v>0</v>
      </c>
      <c r="AU233" t="s">
        <v>242</v>
      </c>
      <c r="AV233" t="s">
        <v>327</v>
      </c>
      <c r="AW233" t="s">
        <v>328</v>
      </c>
      <c r="AX233" t="s">
        <v>458</v>
      </c>
      <c r="AY233">
        <v>77087</v>
      </c>
      <c r="AZ233">
        <v>48201332600</v>
      </c>
      <c r="BA233" t="s">
        <v>329</v>
      </c>
      <c r="BB233" t="s">
        <v>330</v>
      </c>
      <c r="BC233">
        <v>158977</v>
      </c>
      <c r="BD233">
        <v>2840</v>
      </c>
      <c r="BE233" t="s">
        <v>407</v>
      </c>
      <c r="BF233" t="s">
        <v>407</v>
      </c>
      <c r="BG233" t="s">
        <v>407</v>
      </c>
    </row>
    <row r="234" spans="1:59" x14ac:dyDescent="0.3">
      <c r="A234">
        <v>725055</v>
      </c>
      <c r="B234">
        <v>19231956</v>
      </c>
      <c r="C234">
        <v>2022</v>
      </c>
      <c r="D234" s="62">
        <v>44877</v>
      </c>
      <c r="E234">
        <v>18</v>
      </c>
      <c r="F234" t="s">
        <v>436</v>
      </c>
      <c r="G234" t="s">
        <v>319</v>
      </c>
      <c r="H234" t="s">
        <v>453</v>
      </c>
      <c r="I234" t="s">
        <v>411</v>
      </c>
      <c r="J234">
        <v>29.691580859999998</v>
      </c>
      <c r="K234">
        <v>-95.298789439999993</v>
      </c>
      <c r="L234" t="s">
        <v>321</v>
      </c>
      <c r="M234" t="s">
        <v>431</v>
      </c>
      <c r="N234" t="s">
        <v>323</v>
      </c>
      <c r="O234" t="s">
        <v>324</v>
      </c>
      <c r="P234" t="s">
        <v>414</v>
      </c>
      <c r="Q234" t="s">
        <v>332</v>
      </c>
      <c r="R234" t="s">
        <v>426</v>
      </c>
      <c r="S234">
        <v>0</v>
      </c>
      <c r="T234">
        <v>0</v>
      </c>
      <c r="U234">
        <v>0</v>
      </c>
      <c r="V234">
        <v>0</v>
      </c>
      <c r="W234">
        <v>0</v>
      </c>
      <c r="X234">
        <v>1</v>
      </c>
      <c r="Y234">
        <v>1</v>
      </c>
      <c r="Z234">
        <v>0</v>
      </c>
      <c r="AA234">
        <v>0</v>
      </c>
      <c r="AB234">
        <v>0</v>
      </c>
      <c r="AC234">
        <v>0</v>
      </c>
      <c r="AD234">
        <v>1</v>
      </c>
      <c r="AE234">
        <v>0</v>
      </c>
      <c r="AF234">
        <v>1</v>
      </c>
      <c r="AG234">
        <v>0</v>
      </c>
      <c r="AH234">
        <v>0</v>
      </c>
      <c r="AI234">
        <v>0</v>
      </c>
      <c r="AJ234">
        <v>0</v>
      </c>
      <c r="AK234">
        <v>0</v>
      </c>
      <c r="AL234">
        <v>0</v>
      </c>
      <c r="AM234">
        <v>0</v>
      </c>
      <c r="AN234">
        <v>0</v>
      </c>
      <c r="AO234">
        <v>0</v>
      </c>
      <c r="AP234">
        <v>0</v>
      </c>
      <c r="AQ234">
        <v>0</v>
      </c>
      <c r="AR234">
        <v>0</v>
      </c>
      <c r="AS234">
        <v>0</v>
      </c>
      <c r="AT234">
        <v>0</v>
      </c>
      <c r="AU234" t="s">
        <v>242</v>
      </c>
      <c r="AV234" t="s">
        <v>457</v>
      </c>
      <c r="AW234" t="s">
        <v>328</v>
      </c>
      <c r="AX234" t="s">
        <v>458</v>
      </c>
      <c r="AY234">
        <v>77087</v>
      </c>
      <c r="AZ234">
        <v>48201332900</v>
      </c>
      <c r="BA234" t="s">
        <v>329</v>
      </c>
      <c r="BB234" t="s">
        <v>330</v>
      </c>
      <c r="BC234">
        <v>54037</v>
      </c>
      <c r="BD234">
        <v>2892</v>
      </c>
      <c r="BE234" t="s">
        <v>407</v>
      </c>
      <c r="BF234" t="s">
        <v>407</v>
      </c>
      <c r="BG234" t="s">
        <v>407</v>
      </c>
    </row>
    <row r="235" spans="1:59" x14ac:dyDescent="0.3">
      <c r="A235">
        <v>732285</v>
      </c>
      <c r="B235">
        <v>19261875</v>
      </c>
      <c r="C235">
        <v>2022</v>
      </c>
      <c r="D235" s="62">
        <v>44873</v>
      </c>
      <c r="E235">
        <v>21</v>
      </c>
      <c r="F235" t="s">
        <v>318</v>
      </c>
      <c r="G235" t="s">
        <v>319</v>
      </c>
      <c r="H235" t="s">
        <v>453</v>
      </c>
      <c r="I235" t="s">
        <v>437</v>
      </c>
      <c r="J235">
        <v>29.69282346</v>
      </c>
      <c r="K235">
        <v>-95.299057540000007</v>
      </c>
      <c r="L235" t="s">
        <v>321</v>
      </c>
      <c r="M235" t="s">
        <v>322</v>
      </c>
      <c r="N235" t="s">
        <v>323</v>
      </c>
      <c r="O235" t="s">
        <v>445</v>
      </c>
      <c r="P235" t="s">
        <v>428</v>
      </c>
      <c r="Q235" t="s">
        <v>332</v>
      </c>
      <c r="R235" t="s">
        <v>434</v>
      </c>
      <c r="AU235" t="s">
        <v>242</v>
      </c>
      <c r="AV235" t="s">
        <v>457</v>
      </c>
      <c r="AW235" t="s">
        <v>328</v>
      </c>
      <c r="AX235" t="s">
        <v>458</v>
      </c>
      <c r="AY235">
        <v>77087</v>
      </c>
      <c r="AZ235">
        <v>48201332800</v>
      </c>
      <c r="BA235" t="s">
        <v>329</v>
      </c>
      <c r="BB235" t="s">
        <v>330</v>
      </c>
      <c r="BC235">
        <v>54037</v>
      </c>
      <c r="BD235">
        <v>2892</v>
      </c>
      <c r="BE235" t="s">
        <v>407</v>
      </c>
      <c r="BF235" t="s">
        <v>407</v>
      </c>
      <c r="BG235" t="s">
        <v>407</v>
      </c>
    </row>
    <row r="236" spans="1:59" x14ac:dyDescent="0.3">
      <c r="A236">
        <v>732420</v>
      </c>
      <c r="B236">
        <v>19262338</v>
      </c>
      <c r="C236">
        <v>2022</v>
      </c>
      <c r="D236" s="62">
        <v>44896</v>
      </c>
      <c r="E236">
        <v>8</v>
      </c>
      <c r="F236" t="s">
        <v>425</v>
      </c>
      <c r="G236" t="s">
        <v>319</v>
      </c>
      <c r="H236" t="s">
        <v>453</v>
      </c>
      <c r="I236" t="s">
        <v>411</v>
      </c>
      <c r="J236">
        <v>29.686084810000001</v>
      </c>
      <c r="K236">
        <v>-95.296923109999994</v>
      </c>
      <c r="L236" t="s">
        <v>321</v>
      </c>
      <c r="M236" t="s">
        <v>322</v>
      </c>
      <c r="N236" t="s">
        <v>323</v>
      </c>
      <c r="O236" t="s">
        <v>324</v>
      </c>
      <c r="P236" t="s">
        <v>414</v>
      </c>
      <c r="Q236" t="s">
        <v>278</v>
      </c>
      <c r="R236" t="s">
        <v>406</v>
      </c>
      <c r="S236">
        <v>0</v>
      </c>
      <c r="T236">
        <v>0</v>
      </c>
      <c r="U236">
        <v>0</v>
      </c>
      <c r="V236">
        <v>0</v>
      </c>
      <c r="W236">
        <v>0</v>
      </c>
      <c r="X236">
        <v>1</v>
      </c>
      <c r="Y236">
        <v>1</v>
      </c>
      <c r="Z236">
        <v>0</v>
      </c>
      <c r="AA236">
        <v>0</v>
      </c>
      <c r="AB236">
        <v>0</v>
      </c>
      <c r="AC236">
        <v>0</v>
      </c>
      <c r="AD236">
        <v>1</v>
      </c>
      <c r="AE236">
        <v>0</v>
      </c>
      <c r="AF236">
        <v>1</v>
      </c>
      <c r="AG236">
        <v>0</v>
      </c>
      <c r="AH236">
        <v>0</v>
      </c>
      <c r="AI236">
        <v>0</v>
      </c>
      <c r="AJ236">
        <v>0</v>
      </c>
      <c r="AK236">
        <v>0</v>
      </c>
      <c r="AL236">
        <v>0</v>
      </c>
      <c r="AM236">
        <v>0</v>
      </c>
      <c r="AN236">
        <v>0</v>
      </c>
      <c r="AO236">
        <v>0</v>
      </c>
      <c r="AP236">
        <v>0</v>
      </c>
      <c r="AQ236">
        <v>0</v>
      </c>
      <c r="AR236">
        <v>0</v>
      </c>
      <c r="AS236">
        <v>0</v>
      </c>
      <c r="AT236">
        <v>0</v>
      </c>
      <c r="AU236" t="s">
        <v>242</v>
      </c>
      <c r="AV236" t="s">
        <v>457</v>
      </c>
      <c r="AW236" t="s">
        <v>328</v>
      </c>
      <c r="AX236" t="s">
        <v>458</v>
      </c>
      <c r="AY236">
        <v>77087</v>
      </c>
      <c r="AZ236">
        <v>48201332800</v>
      </c>
      <c r="BA236" t="s">
        <v>329</v>
      </c>
      <c r="BB236" t="s">
        <v>330</v>
      </c>
      <c r="BC236">
        <v>53817</v>
      </c>
      <c r="BD236">
        <v>2840</v>
      </c>
      <c r="BE236" t="s">
        <v>407</v>
      </c>
      <c r="BF236" t="s">
        <v>407</v>
      </c>
      <c r="BG236" t="s">
        <v>407</v>
      </c>
    </row>
    <row r="237" spans="1:59" x14ac:dyDescent="0.3">
      <c r="A237">
        <v>733036</v>
      </c>
      <c r="B237">
        <v>19264948</v>
      </c>
      <c r="C237">
        <v>2022</v>
      </c>
      <c r="D237" s="62">
        <v>44800</v>
      </c>
      <c r="E237">
        <v>21</v>
      </c>
      <c r="F237" t="s">
        <v>436</v>
      </c>
      <c r="G237" t="s">
        <v>319</v>
      </c>
      <c r="H237" t="s">
        <v>464</v>
      </c>
      <c r="I237" t="s">
        <v>320</v>
      </c>
      <c r="J237">
        <v>29.68515481</v>
      </c>
      <c r="K237">
        <v>-95.296383109999994</v>
      </c>
      <c r="L237" t="s">
        <v>321</v>
      </c>
      <c r="M237" t="s">
        <v>424</v>
      </c>
      <c r="N237" t="s">
        <v>323</v>
      </c>
      <c r="O237" t="s">
        <v>324</v>
      </c>
      <c r="P237" t="s">
        <v>414</v>
      </c>
      <c r="Q237" t="s">
        <v>331</v>
      </c>
      <c r="R237" t="s">
        <v>439</v>
      </c>
      <c r="S237">
        <v>0</v>
      </c>
      <c r="T237">
        <v>0</v>
      </c>
      <c r="U237">
        <v>0</v>
      </c>
      <c r="V237">
        <v>0</v>
      </c>
      <c r="W237">
        <v>0</v>
      </c>
      <c r="X237">
        <v>1</v>
      </c>
      <c r="Y237">
        <v>1</v>
      </c>
      <c r="Z237">
        <v>0</v>
      </c>
      <c r="AA237">
        <v>0</v>
      </c>
      <c r="AB237">
        <v>0</v>
      </c>
      <c r="AC237">
        <v>0</v>
      </c>
      <c r="AD237">
        <v>1</v>
      </c>
      <c r="AE237">
        <v>0</v>
      </c>
      <c r="AF237">
        <v>1</v>
      </c>
      <c r="AG237">
        <v>0</v>
      </c>
      <c r="AH237">
        <v>0</v>
      </c>
      <c r="AI237">
        <v>0</v>
      </c>
      <c r="AJ237">
        <v>0</v>
      </c>
      <c r="AK237">
        <v>0</v>
      </c>
      <c r="AL237">
        <v>0</v>
      </c>
      <c r="AM237">
        <v>0</v>
      </c>
      <c r="AN237">
        <v>0</v>
      </c>
      <c r="AO237">
        <v>0</v>
      </c>
      <c r="AP237">
        <v>0</v>
      </c>
      <c r="AQ237">
        <v>0</v>
      </c>
      <c r="AR237">
        <v>0</v>
      </c>
      <c r="AS237">
        <v>0</v>
      </c>
      <c r="AT237">
        <v>0</v>
      </c>
      <c r="AU237" t="s">
        <v>242</v>
      </c>
      <c r="AV237" t="s">
        <v>457</v>
      </c>
      <c r="AW237" t="s">
        <v>328</v>
      </c>
      <c r="AX237" t="s">
        <v>458</v>
      </c>
      <c r="AY237">
        <v>77087</v>
      </c>
      <c r="AZ237">
        <v>48201332700</v>
      </c>
      <c r="BA237" t="s">
        <v>329</v>
      </c>
      <c r="BB237" t="s">
        <v>330</v>
      </c>
      <c r="BC237">
        <v>53817</v>
      </c>
      <c r="BD237">
        <v>2840</v>
      </c>
      <c r="BE237" t="s">
        <v>407</v>
      </c>
      <c r="BF237" t="s">
        <v>407</v>
      </c>
      <c r="BG237" t="s">
        <v>407</v>
      </c>
    </row>
    <row r="238" spans="1:59" x14ac:dyDescent="0.3">
      <c r="A238">
        <v>735810</v>
      </c>
      <c r="B238">
        <v>19275721</v>
      </c>
      <c r="C238">
        <v>2022</v>
      </c>
      <c r="D238" s="62">
        <v>44904</v>
      </c>
      <c r="E238">
        <v>15</v>
      </c>
      <c r="F238" t="s">
        <v>418</v>
      </c>
      <c r="G238" t="s">
        <v>319</v>
      </c>
      <c r="H238" t="s">
        <v>453</v>
      </c>
      <c r="I238" t="s">
        <v>419</v>
      </c>
      <c r="J238">
        <v>29.688861880000001</v>
      </c>
      <c r="K238">
        <v>-95.298763109999996</v>
      </c>
      <c r="L238" t="s">
        <v>321</v>
      </c>
      <c r="M238" t="s">
        <v>322</v>
      </c>
      <c r="N238" t="s">
        <v>323</v>
      </c>
      <c r="O238" t="s">
        <v>324</v>
      </c>
      <c r="P238" t="s">
        <v>283</v>
      </c>
      <c r="Q238" t="s">
        <v>331</v>
      </c>
      <c r="R238" t="s">
        <v>326</v>
      </c>
      <c r="S238">
        <v>0</v>
      </c>
      <c r="T238">
        <v>0</v>
      </c>
      <c r="U238">
        <v>0</v>
      </c>
      <c r="V238">
        <v>3</v>
      </c>
      <c r="W238">
        <v>3</v>
      </c>
      <c r="X238">
        <v>0</v>
      </c>
      <c r="Y238">
        <v>0</v>
      </c>
      <c r="Z238">
        <v>0</v>
      </c>
      <c r="AA238">
        <v>0</v>
      </c>
      <c r="AB238">
        <v>0</v>
      </c>
      <c r="AC238">
        <v>3</v>
      </c>
      <c r="AD238">
        <v>0</v>
      </c>
      <c r="AE238">
        <v>3</v>
      </c>
      <c r="AF238">
        <v>0</v>
      </c>
      <c r="AG238">
        <v>0</v>
      </c>
      <c r="AH238">
        <v>0</v>
      </c>
      <c r="AI238">
        <v>0</v>
      </c>
      <c r="AJ238">
        <v>0</v>
      </c>
      <c r="AK238">
        <v>0</v>
      </c>
      <c r="AL238">
        <v>0</v>
      </c>
      <c r="AM238">
        <v>0</v>
      </c>
      <c r="AN238">
        <v>0</v>
      </c>
      <c r="AO238">
        <v>0</v>
      </c>
      <c r="AP238">
        <v>0</v>
      </c>
      <c r="AQ238">
        <v>0</v>
      </c>
      <c r="AR238">
        <v>0</v>
      </c>
      <c r="AS238">
        <v>0</v>
      </c>
      <c r="AT238">
        <v>0</v>
      </c>
      <c r="AU238" t="s">
        <v>242</v>
      </c>
      <c r="AV238" t="s">
        <v>457</v>
      </c>
      <c r="AW238" t="s">
        <v>328</v>
      </c>
      <c r="AX238" t="s">
        <v>458</v>
      </c>
      <c r="AY238">
        <v>77087</v>
      </c>
      <c r="AZ238">
        <v>48201332800</v>
      </c>
      <c r="BA238" t="s">
        <v>329</v>
      </c>
      <c r="BB238" t="s">
        <v>330</v>
      </c>
      <c r="BC238">
        <v>54037</v>
      </c>
      <c r="BD238">
        <v>2892</v>
      </c>
      <c r="BE238" t="s">
        <v>407</v>
      </c>
      <c r="BF238" t="s">
        <v>407</v>
      </c>
      <c r="BG238" t="s">
        <v>407</v>
      </c>
    </row>
    <row r="239" spans="1:59" x14ac:dyDescent="0.3">
      <c r="A239">
        <v>737378</v>
      </c>
      <c r="B239">
        <v>19282654</v>
      </c>
      <c r="C239">
        <v>2022</v>
      </c>
      <c r="D239" s="62">
        <v>44908</v>
      </c>
      <c r="E239">
        <v>10</v>
      </c>
      <c r="F239" t="s">
        <v>318</v>
      </c>
      <c r="G239" t="s">
        <v>319</v>
      </c>
      <c r="H239" t="s">
        <v>453</v>
      </c>
      <c r="I239" t="s">
        <v>411</v>
      </c>
      <c r="J239">
        <v>29.685089820000002</v>
      </c>
      <c r="K239">
        <v>-95.29635811</v>
      </c>
      <c r="L239" t="s">
        <v>321</v>
      </c>
      <c r="M239" t="s">
        <v>322</v>
      </c>
      <c r="N239" t="s">
        <v>323</v>
      </c>
      <c r="O239" t="s">
        <v>324</v>
      </c>
      <c r="P239" t="s">
        <v>414</v>
      </c>
      <c r="Q239" t="s">
        <v>332</v>
      </c>
      <c r="R239" t="s">
        <v>434</v>
      </c>
      <c r="S239">
        <v>0</v>
      </c>
      <c r="T239">
        <v>0</v>
      </c>
      <c r="U239">
        <v>0</v>
      </c>
      <c r="V239">
        <v>0</v>
      </c>
      <c r="W239">
        <v>0</v>
      </c>
      <c r="X239">
        <v>2</v>
      </c>
      <c r="Y239">
        <v>0</v>
      </c>
      <c r="Z239">
        <v>0</v>
      </c>
      <c r="AA239">
        <v>0</v>
      </c>
      <c r="AB239">
        <v>0</v>
      </c>
      <c r="AC239">
        <v>0</v>
      </c>
      <c r="AD239">
        <v>2</v>
      </c>
      <c r="AE239">
        <v>0</v>
      </c>
      <c r="AF239">
        <v>0</v>
      </c>
      <c r="AG239">
        <v>0</v>
      </c>
      <c r="AH239">
        <v>0</v>
      </c>
      <c r="AI239">
        <v>0</v>
      </c>
      <c r="AJ239">
        <v>0</v>
      </c>
      <c r="AK239">
        <v>0</v>
      </c>
      <c r="AL239">
        <v>0</v>
      </c>
      <c r="AM239">
        <v>0</v>
      </c>
      <c r="AN239">
        <v>0</v>
      </c>
      <c r="AO239">
        <v>0</v>
      </c>
      <c r="AP239">
        <v>0</v>
      </c>
      <c r="AQ239">
        <v>0</v>
      </c>
      <c r="AR239">
        <v>0</v>
      </c>
      <c r="AS239">
        <v>0</v>
      </c>
      <c r="AT239">
        <v>0</v>
      </c>
      <c r="AU239" t="s">
        <v>242</v>
      </c>
      <c r="AV239" t="s">
        <v>457</v>
      </c>
      <c r="AW239" t="s">
        <v>328</v>
      </c>
      <c r="AX239" t="s">
        <v>458</v>
      </c>
      <c r="AY239">
        <v>77087</v>
      </c>
      <c r="AZ239">
        <v>48201332700</v>
      </c>
      <c r="BA239" t="s">
        <v>329</v>
      </c>
      <c r="BB239" t="s">
        <v>330</v>
      </c>
      <c r="BC239">
        <v>53817</v>
      </c>
      <c r="BD239">
        <v>2840</v>
      </c>
      <c r="BE239" t="s">
        <v>407</v>
      </c>
      <c r="BF239" t="s">
        <v>407</v>
      </c>
      <c r="BG239" t="s">
        <v>407</v>
      </c>
    </row>
    <row r="240" spans="1:59" x14ac:dyDescent="0.3">
      <c r="A240">
        <v>738485</v>
      </c>
      <c r="B240">
        <v>19287198</v>
      </c>
      <c r="C240">
        <v>2022</v>
      </c>
      <c r="D240" s="62">
        <v>44853</v>
      </c>
      <c r="E240">
        <v>20</v>
      </c>
      <c r="F240" t="s">
        <v>405</v>
      </c>
      <c r="G240" t="s">
        <v>492</v>
      </c>
      <c r="H240" t="s">
        <v>473</v>
      </c>
      <c r="I240" t="s">
        <v>437</v>
      </c>
      <c r="J240">
        <v>29.675351500000001</v>
      </c>
      <c r="K240">
        <v>-95.289249170000005</v>
      </c>
      <c r="L240" t="s">
        <v>321</v>
      </c>
      <c r="M240" t="s">
        <v>431</v>
      </c>
      <c r="N240" t="s">
        <v>422</v>
      </c>
      <c r="O240" t="s">
        <v>324</v>
      </c>
      <c r="P240" t="s">
        <v>414</v>
      </c>
      <c r="Q240" t="s">
        <v>325</v>
      </c>
      <c r="R240" t="s">
        <v>406</v>
      </c>
      <c r="S240">
        <v>0</v>
      </c>
      <c r="T240">
        <v>0</v>
      </c>
      <c r="U240">
        <v>0</v>
      </c>
      <c r="V240">
        <v>0</v>
      </c>
      <c r="W240">
        <v>0</v>
      </c>
      <c r="X240">
        <v>1</v>
      </c>
      <c r="Y240">
        <v>1</v>
      </c>
      <c r="Z240">
        <v>0</v>
      </c>
      <c r="AA240">
        <v>0</v>
      </c>
      <c r="AB240">
        <v>0</v>
      </c>
      <c r="AC240">
        <v>0</v>
      </c>
      <c r="AD240">
        <v>1</v>
      </c>
      <c r="AE240">
        <v>0</v>
      </c>
      <c r="AF240">
        <v>1</v>
      </c>
      <c r="AG240">
        <v>0</v>
      </c>
      <c r="AH240">
        <v>0</v>
      </c>
      <c r="AI240">
        <v>0</v>
      </c>
      <c r="AJ240">
        <v>0</v>
      </c>
      <c r="AK240">
        <v>0</v>
      </c>
      <c r="AL240">
        <v>0</v>
      </c>
      <c r="AM240">
        <v>0</v>
      </c>
      <c r="AN240">
        <v>0</v>
      </c>
      <c r="AO240">
        <v>0</v>
      </c>
      <c r="AP240">
        <v>0</v>
      </c>
      <c r="AQ240">
        <v>0</v>
      </c>
      <c r="AR240">
        <v>0</v>
      </c>
      <c r="AS240">
        <v>0</v>
      </c>
      <c r="AT240">
        <v>0</v>
      </c>
      <c r="AU240" t="s">
        <v>242</v>
      </c>
      <c r="AV240" t="s">
        <v>457</v>
      </c>
      <c r="AW240" t="s">
        <v>328</v>
      </c>
      <c r="AX240" t="s">
        <v>458</v>
      </c>
      <c r="AY240">
        <v>77087</v>
      </c>
      <c r="AZ240">
        <v>48201333000</v>
      </c>
      <c r="BA240" t="s">
        <v>329</v>
      </c>
      <c r="BB240" t="s">
        <v>330</v>
      </c>
      <c r="BC240">
        <v>53378</v>
      </c>
      <c r="BD240">
        <v>2840</v>
      </c>
      <c r="BE240" t="s">
        <v>407</v>
      </c>
      <c r="BF240" t="s">
        <v>407</v>
      </c>
      <c r="BG240" t="s">
        <v>407</v>
      </c>
    </row>
    <row r="241" spans="1:59" x14ac:dyDescent="0.3">
      <c r="A241">
        <v>746192</v>
      </c>
      <c r="B241">
        <v>19320237</v>
      </c>
      <c r="C241">
        <v>2022</v>
      </c>
      <c r="D241" s="62">
        <v>44899</v>
      </c>
      <c r="E241">
        <v>19</v>
      </c>
      <c r="F241" t="s">
        <v>408</v>
      </c>
      <c r="G241" t="s">
        <v>319</v>
      </c>
      <c r="H241" t="s">
        <v>453</v>
      </c>
      <c r="I241" t="s">
        <v>437</v>
      </c>
      <c r="J241">
        <v>29.689876430000002</v>
      </c>
      <c r="K241">
        <v>-95.298747270000007</v>
      </c>
      <c r="L241" t="s">
        <v>420</v>
      </c>
      <c r="M241" t="s">
        <v>431</v>
      </c>
      <c r="N241" t="s">
        <v>323</v>
      </c>
      <c r="O241" t="s">
        <v>324</v>
      </c>
      <c r="P241" t="s">
        <v>414</v>
      </c>
      <c r="Q241" t="s">
        <v>332</v>
      </c>
      <c r="R241" t="s">
        <v>426</v>
      </c>
      <c r="S241">
        <v>0</v>
      </c>
      <c r="T241">
        <v>0</v>
      </c>
      <c r="U241">
        <v>0</v>
      </c>
      <c r="V241">
        <v>0</v>
      </c>
      <c r="W241">
        <v>0</v>
      </c>
      <c r="X241">
        <v>2</v>
      </c>
      <c r="Y241">
        <v>0</v>
      </c>
      <c r="Z241">
        <v>0</v>
      </c>
      <c r="AA241">
        <v>0</v>
      </c>
      <c r="AB241">
        <v>0</v>
      </c>
      <c r="AC241">
        <v>0</v>
      </c>
      <c r="AD241">
        <v>2</v>
      </c>
      <c r="AE241">
        <v>0</v>
      </c>
      <c r="AF241">
        <v>0</v>
      </c>
      <c r="AG241">
        <v>0</v>
      </c>
      <c r="AH241">
        <v>0</v>
      </c>
      <c r="AI241">
        <v>0</v>
      </c>
      <c r="AJ241">
        <v>0</v>
      </c>
      <c r="AK241">
        <v>0</v>
      </c>
      <c r="AL241">
        <v>0</v>
      </c>
      <c r="AM241">
        <v>0</v>
      </c>
      <c r="AN241">
        <v>0</v>
      </c>
      <c r="AO241">
        <v>0</v>
      </c>
      <c r="AP241">
        <v>0</v>
      </c>
      <c r="AQ241">
        <v>0</v>
      </c>
      <c r="AR241">
        <v>0</v>
      </c>
      <c r="AS241">
        <v>0</v>
      </c>
      <c r="AT241">
        <v>0</v>
      </c>
      <c r="AU241" t="s">
        <v>242</v>
      </c>
      <c r="AV241" t="s">
        <v>457</v>
      </c>
      <c r="AW241" t="s">
        <v>328</v>
      </c>
      <c r="AX241" t="s">
        <v>458</v>
      </c>
      <c r="AY241">
        <v>77087</v>
      </c>
      <c r="AZ241">
        <v>48201332900</v>
      </c>
      <c r="BA241" t="s">
        <v>329</v>
      </c>
      <c r="BB241" t="s">
        <v>330</v>
      </c>
      <c r="BC241">
        <v>54037</v>
      </c>
      <c r="BD241">
        <v>2892</v>
      </c>
      <c r="BE241" t="s">
        <v>407</v>
      </c>
      <c r="BF241" t="s">
        <v>407</v>
      </c>
      <c r="BG241" t="s">
        <v>407</v>
      </c>
    </row>
    <row r="242" spans="1:59" x14ac:dyDescent="0.3">
      <c r="Z242">
        <f>SUM(Z2:Z241)</f>
        <v>10</v>
      </c>
    </row>
    <row r="1328" ht="13.8" customHeight="1"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D76C5-3492-4D4E-B6C2-948F0113998F}">
  <sheetPr>
    <tabColor theme="8"/>
  </sheetPr>
  <dimension ref="A1:AA307"/>
  <sheetViews>
    <sheetView workbookViewId="0">
      <selection activeCell="D26" sqref="D26"/>
    </sheetView>
  </sheetViews>
  <sheetFormatPr defaultRowHeight="14.4" x14ac:dyDescent="0.3"/>
  <cols>
    <col min="24" max="24" width="13.6640625" customWidth="1"/>
    <col min="25" max="25" width="18.88671875" customWidth="1"/>
    <col min="26" max="26" width="17.77734375" customWidth="1"/>
  </cols>
  <sheetData>
    <row r="1" spans="1:27" x14ac:dyDescent="0.3">
      <c r="A1" t="s">
        <v>262</v>
      </c>
      <c r="B1" t="s">
        <v>316</v>
      </c>
      <c r="C1" t="s">
        <v>357</v>
      </c>
      <c r="D1" t="s">
        <v>358</v>
      </c>
      <c r="E1" t="s">
        <v>359</v>
      </c>
      <c r="F1" t="s">
        <v>373</v>
      </c>
      <c r="G1" t="s">
        <v>374</v>
      </c>
      <c r="H1" t="s">
        <v>375</v>
      </c>
      <c r="I1" t="s">
        <v>376</v>
      </c>
      <c r="J1" t="s">
        <v>377</v>
      </c>
      <c r="K1" t="s">
        <v>353</v>
      </c>
      <c r="L1" t="s">
        <v>354</v>
      </c>
      <c r="M1" t="s">
        <v>355</v>
      </c>
      <c r="N1" t="s">
        <v>356</v>
      </c>
      <c r="O1" t="s">
        <v>360</v>
      </c>
      <c r="P1" t="s">
        <v>361</v>
      </c>
      <c r="Q1" t="s">
        <v>362</v>
      </c>
      <c r="R1" t="s">
        <v>363</v>
      </c>
      <c r="S1" t="s">
        <v>364</v>
      </c>
      <c r="T1" t="s">
        <v>365</v>
      </c>
      <c r="U1" t="s">
        <v>366</v>
      </c>
      <c r="V1" t="s">
        <v>367</v>
      </c>
      <c r="W1" t="s">
        <v>368</v>
      </c>
      <c r="X1" t="s">
        <v>369</v>
      </c>
      <c r="Y1" t="s">
        <v>370</v>
      </c>
      <c r="Z1" t="s">
        <v>371</v>
      </c>
      <c r="AA1" t="s">
        <v>372</v>
      </c>
    </row>
    <row r="2" spans="1:27" x14ac:dyDescent="0.3">
      <c r="A2">
        <v>5321</v>
      </c>
      <c r="B2">
        <v>158758</v>
      </c>
      <c r="C2">
        <v>0.94455709147807698</v>
      </c>
      <c r="D2">
        <v>0</v>
      </c>
      <c r="E2">
        <v>2.5663065828293399E-3</v>
      </c>
      <c r="F2">
        <v>10.758072512671999</v>
      </c>
      <c r="G2">
        <v>59.5184522680225</v>
      </c>
      <c r="H2">
        <v>70.276524780694601</v>
      </c>
      <c r="I2">
        <v>7428.66015565613</v>
      </c>
      <c r="J2">
        <v>3982633.7272469299</v>
      </c>
      <c r="K2">
        <v>554</v>
      </c>
      <c r="L2">
        <v>523</v>
      </c>
      <c r="M2">
        <v>0</v>
      </c>
      <c r="N2">
        <v>2</v>
      </c>
      <c r="O2">
        <v>26</v>
      </c>
      <c r="P2">
        <v>21</v>
      </c>
      <c r="Q2">
        <v>25</v>
      </c>
      <c r="R2">
        <v>10</v>
      </c>
      <c r="S2">
        <v>5</v>
      </c>
      <c r="T2">
        <v>7</v>
      </c>
      <c r="U2">
        <v>13</v>
      </c>
      <c r="V2">
        <v>6</v>
      </c>
      <c r="W2">
        <v>13</v>
      </c>
      <c r="X2">
        <v>14</v>
      </c>
      <c r="Y2">
        <v>26</v>
      </c>
      <c r="Z2">
        <v>12</v>
      </c>
      <c r="AA2">
        <v>26</v>
      </c>
    </row>
    <row r="3" spans="1:27" x14ac:dyDescent="0.3">
      <c r="A3">
        <v>5373</v>
      </c>
      <c r="B3">
        <v>53817</v>
      </c>
      <c r="C3">
        <v>0.916020148572806</v>
      </c>
      <c r="D3">
        <v>0</v>
      </c>
      <c r="E3">
        <v>5.4822574657021504E-3</v>
      </c>
      <c r="F3">
        <v>3.84654137754243</v>
      </c>
      <c r="G3">
        <v>18.4321301528996</v>
      </c>
      <c r="H3">
        <v>22.2786715304421</v>
      </c>
      <c r="I3">
        <v>7428.6599726291597</v>
      </c>
      <c r="J3">
        <v>3982633.53099907</v>
      </c>
      <c r="K3">
        <v>220</v>
      </c>
      <c r="L3">
        <v>202</v>
      </c>
      <c r="M3">
        <v>0</v>
      </c>
      <c r="N3">
        <v>2</v>
      </c>
      <c r="O3">
        <v>6</v>
      </c>
      <c r="P3">
        <v>9</v>
      </c>
      <c r="Q3">
        <v>10</v>
      </c>
      <c r="R3">
        <v>5</v>
      </c>
      <c r="S3">
        <v>4</v>
      </c>
      <c r="T3">
        <v>4</v>
      </c>
      <c r="U3">
        <v>5</v>
      </c>
      <c r="V3">
        <v>3</v>
      </c>
      <c r="W3">
        <v>5</v>
      </c>
      <c r="X3">
        <v>8</v>
      </c>
      <c r="Y3">
        <v>10</v>
      </c>
      <c r="Z3">
        <v>6</v>
      </c>
      <c r="AA3">
        <v>10</v>
      </c>
    </row>
    <row r="4" spans="1:27" x14ac:dyDescent="0.3">
      <c r="A4">
        <v>5451</v>
      </c>
      <c r="B4">
        <v>54257</v>
      </c>
      <c r="C4">
        <v>0.91859478909916203</v>
      </c>
      <c r="D4">
        <v>0</v>
      </c>
      <c r="E4">
        <v>2.44505342306321E-2</v>
      </c>
      <c r="F4">
        <v>0</v>
      </c>
      <c r="G4">
        <v>18.8825659156165</v>
      </c>
      <c r="H4">
        <v>18.8825659156165</v>
      </c>
      <c r="I4">
        <v>7428.65994216321</v>
      </c>
      <c r="J4">
        <v>3982633.4983324101</v>
      </c>
      <c r="K4">
        <v>294</v>
      </c>
      <c r="L4">
        <v>270</v>
      </c>
      <c r="M4">
        <v>0</v>
      </c>
      <c r="N4">
        <v>8</v>
      </c>
      <c r="O4">
        <v>5</v>
      </c>
      <c r="P4">
        <v>10</v>
      </c>
      <c r="Q4">
        <v>11</v>
      </c>
      <c r="R4">
        <v>2</v>
      </c>
      <c r="S4">
        <v>4</v>
      </c>
      <c r="T4">
        <v>3</v>
      </c>
      <c r="U4">
        <v>5</v>
      </c>
      <c r="V4">
        <v>0</v>
      </c>
      <c r="W4">
        <v>5</v>
      </c>
      <c r="X4">
        <v>6</v>
      </c>
      <c r="Y4">
        <v>10</v>
      </c>
      <c r="Z4">
        <v>0</v>
      </c>
      <c r="AA4">
        <v>10</v>
      </c>
    </row>
    <row r="5" spans="1:27" x14ac:dyDescent="0.3">
      <c r="A5">
        <v>23899</v>
      </c>
      <c r="B5">
        <v>158757</v>
      </c>
      <c r="C5">
        <v>0.88086577195215199</v>
      </c>
      <c r="D5">
        <v>0</v>
      </c>
      <c r="E5">
        <v>2.5717268235432101E-4</v>
      </c>
      <c r="F5">
        <v>4.6609120265221797</v>
      </c>
      <c r="G5">
        <v>27.127402543602798</v>
      </c>
      <c r="H5">
        <v>31.788314570124999</v>
      </c>
      <c r="I5">
        <v>7428.6599134601101</v>
      </c>
      <c r="J5">
        <v>3982633.4675559499</v>
      </c>
      <c r="K5">
        <v>272</v>
      </c>
      <c r="L5">
        <v>240</v>
      </c>
      <c r="M5">
        <v>0</v>
      </c>
      <c r="N5">
        <v>1</v>
      </c>
      <c r="O5">
        <v>7</v>
      </c>
      <c r="P5">
        <v>15</v>
      </c>
      <c r="Q5">
        <v>15</v>
      </c>
      <c r="R5">
        <v>3</v>
      </c>
      <c r="S5">
        <v>2</v>
      </c>
      <c r="T5">
        <v>3</v>
      </c>
      <c r="U5">
        <v>7</v>
      </c>
      <c r="V5">
        <v>3</v>
      </c>
      <c r="W5">
        <v>7</v>
      </c>
      <c r="X5">
        <v>6</v>
      </c>
      <c r="Y5">
        <v>14</v>
      </c>
      <c r="Z5">
        <v>6</v>
      </c>
      <c r="AA5">
        <v>14</v>
      </c>
    </row>
    <row r="6" spans="1:27" x14ac:dyDescent="0.3">
      <c r="A6">
        <v>23901</v>
      </c>
      <c r="B6">
        <v>53597</v>
      </c>
      <c r="C6">
        <v>0.94268351053945698</v>
      </c>
      <c r="D6">
        <v>0</v>
      </c>
      <c r="E6">
        <v>0</v>
      </c>
      <c r="F6">
        <v>11.792937937147901</v>
      </c>
      <c r="G6">
        <v>59.918814467955201</v>
      </c>
      <c r="H6">
        <v>71.711752405103198</v>
      </c>
      <c r="I6">
        <v>7428.6599421374003</v>
      </c>
      <c r="J6">
        <v>3982633.4983047401</v>
      </c>
      <c r="K6">
        <v>600</v>
      </c>
      <c r="L6">
        <v>565</v>
      </c>
      <c r="M6">
        <v>0</v>
      </c>
      <c r="N6">
        <v>0</v>
      </c>
      <c r="O6">
        <v>23</v>
      </c>
      <c r="P6">
        <v>27</v>
      </c>
      <c r="Q6">
        <v>24</v>
      </c>
      <c r="R6">
        <v>7</v>
      </c>
      <c r="S6">
        <v>4</v>
      </c>
      <c r="T6">
        <v>6</v>
      </c>
      <c r="U6">
        <v>13</v>
      </c>
      <c r="V6">
        <v>6</v>
      </c>
      <c r="W6">
        <v>13</v>
      </c>
      <c r="X6">
        <v>12</v>
      </c>
      <c r="Y6">
        <v>26</v>
      </c>
      <c r="Z6">
        <v>12</v>
      </c>
      <c r="AA6">
        <v>26</v>
      </c>
    </row>
    <row r="7" spans="1:27" x14ac:dyDescent="0.3">
      <c r="A7">
        <v>23904</v>
      </c>
      <c r="B7">
        <v>53598</v>
      </c>
      <c r="C7">
        <v>0.9284902790156</v>
      </c>
      <c r="D7">
        <v>0</v>
      </c>
      <c r="E7">
        <v>1.6751940390555501E-2</v>
      </c>
      <c r="F7">
        <v>0</v>
      </c>
      <c r="G7">
        <v>30.874021068057999</v>
      </c>
      <c r="H7">
        <v>30.874021068057999</v>
      </c>
      <c r="I7">
        <v>7428.6597551874302</v>
      </c>
      <c r="J7">
        <v>3982633.2978504999</v>
      </c>
      <c r="K7">
        <v>423</v>
      </c>
      <c r="L7">
        <v>393</v>
      </c>
      <c r="M7">
        <v>0</v>
      </c>
      <c r="N7">
        <v>8</v>
      </c>
      <c r="O7">
        <v>10</v>
      </c>
      <c r="P7">
        <v>16</v>
      </c>
      <c r="Q7">
        <v>13</v>
      </c>
      <c r="R7">
        <v>6</v>
      </c>
      <c r="S7">
        <v>3</v>
      </c>
      <c r="T7">
        <v>5</v>
      </c>
      <c r="U7">
        <v>7</v>
      </c>
      <c r="V7">
        <v>0</v>
      </c>
      <c r="W7">
        <v>7</v>
      </c>
      <c r="X7">
        <v>10</v>
      </c>
      <c r="Y7">
        <v>14</v>
      </c>
      <c r="Z7">
        <v>0</v>
      </c>
      <c r="AA7">
        <v>14</v>
      </c>
    </row>
    <row r="8" spans="1:27" x14ac:dyDescent="0.3">
      <c r="A8">
        <v>23905</v>
      </c>
      <c r="B8">
        <v>53378</v>
      </c>
      <c r="C8">
        <v>0.96094043699989395</v>
      </c>
      <c r="D8">
        <v>0</v>
      </c>
      <c r="E8">
        <v>1.48634422169908E-3</v>
      </c>
      <c r="F8">
        <v>6.1807728691409496</v>
      </c>
      <c r="G8">
        <v>41.864759346841304</v>
      </c>
      <c r="H8">
        <v>48.045532215982199</v>
      </c>
      <c r="I8">
        <v>7428.6598309892197</v>
      </c>
      <c r="J8">
        <v>3982633.3791278</v>
      </c>
      <c r="K8">
        <v>456</v>
      </c>
      <c r="L8">
        <v>438</v>
      </c>
      <c r="M8">
        <v>0</v>
      </c>
      <c r="N8">
        <v>1</v>
      </c>
      <c r="O8">
        <v>12</v>
      </c>
      <c r="P8">
        <v>22</v>
      </c>
      <c r="Q8">
        <v>21</v>
      </c>
      <c r="R8">
        <v>4</v>
      </c>
      <c r="S8">
        <v>2</v>
      </c>
      <c r="T8">
        <v>4</v>
      </c>
      <c r="U8">
        <v>10</v>
      </c>
      <c r="V8">
        <v>3</v>
      </c>
      <c r="W8">
        <v>10</v>
      </c>
      <c r="X8">
        <v>8</v>
      </c>
      <c r="Y8">
        <v>20</v>
      </c>
      <c r="Z8">
        <v>6</v>
      </c>
      <c r="AA8">
        <v>20</v>
      </c>
    </row>
    <row r="9" spans="1:27" x14ac:dyDescent="0.3">
      <c r="A9">
        <v>24188</v>
      </c>
      <c r="B9">
        <v>53818</v>
      </c>
      <c r="C9">
        <v>0.88477732404854603</v>
      </c>
      <c r="D9">
        <v>0</v>
      </c>
      <c r="E9">
        <v>2.6003859078015602E-2</v>
      </c>
      <c r="F9">
        <v>0</v>
      </c>
      <c r="G9">
        <v>44.440104893385197</v>
      </c>
      <c r="H9">
        <v>44.440104893385197</v>
      </c>
      <c r="I9">
        <v>7428.65979333839</v>
      </c>
      <c r="J9">
        <v>3982633.3387572798</v>
      </c>
      <c r="K9">
        <v>523</v>
      </c>
      <c r="L9">
        <v>463</v>
      </c>
      <c r="M9">
        <v>0</v>
      </c>
      <c r="N9">
        <v>14</v>
      </c>
      <c r="O9">
        <v>19</v>
      </c>
      <c r="P9">
        <v>22</v>
      </c>
      <c r="Q9">
        <v>10</v>
      </c>
      <c r="R9">
        <v>4</v>
      </c>
      <c r="S9">
        <v>10</v>
      </c>
      <c r="T9">
        <v>7</v>
      </c>
      <c r="U9">
        <v>9</v>
      </c>
      <c r="V9">
        <v>0</v>
      </c>
      <c r="W9">
        <v>9</v>
      </c>
      <c r="X9">
        <v>14</v>
      </c>
      <c r="Y9">
        <v>18</v>
      </c>
      <c r="Z9">
        <v>0</v>
      </c>
      <c r="AA9">
        <v>18</v>
      </c>
    </row>
    <row r="10" spans="1:27" x14ac:dyDescent="0.3">
      <c r="A10">
        <v>24189</v>
      </c>
      <c r="B10">
        <v>159197</v>
      </c>
      <c r="C10">
        <v>0.81615069493527703</v>
      </c>
      <c r="D10">
        <v>0</v>
      </c>
      <c r="E10">
        <v>1.62955815808042E-2</v>
      </c>
      <c r="F10">
        <v>0</v>
      </c>
      <c r="G10">
        <v>51.2554829247523</v>
      </c>
      <c r="H10">
        <v>51.2554829247523</v>
      </c>
      <c r="I10">
        <v>7428.65994917033</v>
      </c>
      <c r="J10">
        <v>3982633.5058456901</v>
      </c>
      <c r="K10">
        <v>396</v>
      </c>
      <c r="L10">
        <v>323</v>
      </c>
      <c r="M10">
        <v>0</v>
      </c>
      <c r="N10">
        <v>7</v>
      </c>
      <c r="O10">
        <v>21</v>
      </c>
      <c r="P10">
        <v>25</v>
      </c>
      <c r="Q10">
        <v>14</v>
      </c>
      <c r="R10">
        <v>6</v>
      </c>
      <c r="S10">
        <v>5</v>
      </c>
      <c r="T10">
        <v>6</v>
      </c>
      <c r="U10">
        <v>11</v>
      </c>
      <c r="V10">
        <v>0</v>
      </c>
      <c r="W10">
        <v>11</v>
      </c>
      <c r="X10">
        <v>12</v>
      </c>
      <c r="Y10">
        <v>22</v>
      </c>
      <c r="Z10">
        <v>0</v>
      </c>
      <c r="AA10">
        <v>22</v>
      </c>
    </row>
    <row r="11" spans="1:27" x14ac:dyDescent="0.3">
      <c r="A11">
        <v>24190</v>
      </c>
      <c r="B11">
        <v>158977</v>
      </c>
      <c r="C11">
        <v>0.91973138768414797</v>
      </c>
      <c r="D11">
        <v>0</v>
      </c>
      <c r="E11">
        <v>1.7721544860571099E-2</v>
      </c>
      <c r="F11">
        <v>0</v>
      </c>
      <c r="G11">
        <v>52.801761724913803</v>
      </c>
      <c r="H11">
        <v>52.801761724913803</v>
      </c>
      <c r="I11">
        <v>7428.6598790871303</v>
      </c>
      <c r="J11">
        <v>3982633.4307000502</v>
      </c>
      <c r="K11">
        <v>515</v>
      </c>
      <c r="L11">
        <v>474</v>
      </c>
      <c r="M11">
        <v>0</v>
      </c>
      <c r="N11">
        <v>10</v>
      </c>
      <c r="O11">
        <v>16</v>
      </c>
      <c r="P11">
        <v>25</v>
      </c>
      <c r="Q11">
        <v>28</v>
      </c>
      <c r="R11">
        <v>8</v>
      </c>
      <c r="S11">
        <v>6</v>
      </c>
      <c r="T11">
        <v>7</v>
      </c>
      <c r="U11">
        <v>12</v>
      </c>
      <c r="V11">
        <v>0</v>
      </c>
      <c r="W11">
        <v>12</v>
      </c>
      <c r="X11">
        <v>14</v>
      </c>
      <c r="Y11">
        <v>24</v>
      </c>
      <c r="Z11">
        <v>0</v>
      </c>
      <c r="AA11">
        <v>24</v>
      </c>
    </row>
    <row r="12" spans="1:27" x14ac:dyDescent="0.3">
      <c r="A12">
        <v>24191</v>
      </c>
      <c r="B12">
        <v>54037</v>
      </c>
      <c r="C12">
        <v>0.933411785778263</v>
      </c>
      <c r="D12">
        <v>0</v>
      </c>
      <c r="E12">
        <v>9.0406778201508799E-3</v>
      </c>
      <c r="F12">
        <v>2.8188888480166101</v>
      </c>
      <c r="G12">
        <v>57.795653781033998</v>
      </c>
      <c r="H12">
        <v>60.614542629050597</v>
      </c>
      <c r="I12">
        <v>7428.6600064245804</v>
      </c>
      <c r="J12">
        <v>3982633.5672356901</v>
      </c>
      <c r="K12">
        <v>543</v>
      </c>
      <c r="L12">
        <v>507</v>
      </c>
      <c r="M12">
        <v>0</v>
      </c>
      <c r="N12">
        <v>5</v>
      </c>
      <c r="O12">
        <v>13</v>
      </c>
      <c r="P12">
        <v>29</v>
      </c>
      <c r="Q12">
        <v>38</v>
      </c>
      <c r="R12">
        <v>5</v>
      </c>
      <c r="S12">
        <v>9</v>
      </c>
      <c r="T12">
        <v>7</v>
      </c>
      <c r="U12">
        <v>14</v>
      </c>
      <c r="V12">
        <v>2</v>
      </c>
      <c r="W12">
        <v>14</v>
      </c>
      <c r="X12">
        <v>14</v>
      </c>
      <c r="Y12">
        <v>28</v>
      </c>
      <c r="Z12">
        <v>4</v>
      </c>
      <c r="AA12">
        <v>28</v>
      </c>
    </row>
    <row r="13" spans="1:27" x14ac:dyDescent="0.3">
      <c r="A13">
        <v>24192</v>
      </c>
      <c r="B13">
        <v>159196</v>
      </c>
      <c r="C13">
        <v>0.93954432985130398</v>
      </c>
      <c r="D13">
        <v>0</v>
      </c>
      <c r="E13">
        <v>1.6532636922798102E-2</v>
      </c>
      <c r="F13">
        <v>2.5117909822350701</v>
      </c>
      <c r="G13">
        <v>17.183289780961299</v>
      </c>
      <c r="H13">
        <v>19.695080763196401</v>
      </c>
      <c r="I13">
        <v>7428.6598309296096</v>
      </c>
      <c r="J13">
        <v>3982633.3790638898</v>
      </c>
      <c r="K13">
        <v>221</v>
      </c>
      <c r="L13">
        <v>208</v>
      </c>
      <c r="M13">
        <v>0</v>
      </c>
      <c r="N13">
        <v>4</v>
      </c>
      <c r="O13">
        <v>6</v>
      </c>
      <c r="P13">
        <v>5</v>
      </c>
      <c r="Q13">
        <v>14</v>
      </c>
      <c r="R13">
        <v>6</v>
      </c>
      <c r="S13">
        <v>9</v>
      </c>
      <c r="T13">
        <v>6</v>
      </c>
      <c r="U13">
        <v>5</v>
      </c>
      <c r="V13">
        <v>3</v>
      </c>
      <c r="W13">
        <v>5</v>
      </c>
      <c r="X13">
        <v>12</v>
      </c>
      <c r="Y13">
        <v>10</v>
      </c>
      <c r="Z13">
        <v>6</v>
      </c>
      <c r="AA13">
        <v>10</v>
      </c>
    </row>
    <row r="14" spans="1:27" x14ac:dyDescent="0.3">
      <c r="A14">
        <v>24576</v>
      </c>
      <c r="B14">
        <v>159636</v>
      </c>
      <c r="C14">
        <v>0.89173998586711001</v>
      </c>
      <c r="D14">
        <v>0</v>
      </c>
      <c r="E14">
        <v>5.3772179734168903E-2</v>
      </c>
      <c r="F14">
        <v>0</v>
      </c>
      <c r="G14">
        <v>54.893896875229899</v>
      </c>
      <c r="H14">
        <v>54.893896875229899</v>
      </c>
      <c r="I14">
        <v>7428.6598603149396</v>
      </c>
      <c r="J14">
        <v>3982633.4105718601</v>
      </c>
      <c r="K14">
        <v>743</v>
      </c>
      <c r="L14">
        <v>663</v>
      </c>
      <c r="M14">
        <v>0</v>
      </c>
      <c r="N14">
        <v>40</v>
      </c>
      <c r="O14">
        <v>19</v>
      </c>
      <c r="P14">
        <v>16</v>
      </c>
      <c r="Q14">
        <v>40</v>
      </c>
      <c r="R14">
        <v>11</v>
      </c>
      <c r="S14">
        <v>8</v>
      </c>
      <c r="T14">
        <v>9</v>
      </c>
      <c r="U14">
        <v>13</v>
      </c>
      <c r="V14">
        <v>0</v>
      </c>
      <c r="W14">
        <v>13</v>
      </c>
      <c r="X14">
        <v>18</v>
      </c>
      <c r="Y14">
        <v>26</v>
      </c>
      <c r="Z14">
        <v>0</v>
      </c>
      <c r="AA14">
        <v>26</v>
      </c>
    </row>
    <row r="15" spans="1:27" x14ac:dyDescent="0.3">
      <c r="A15">
        <v>24578</v>
      </c>
      <c r="B15">
        <v>159416</v>
      </c>
      <c r="C15">
        <v>0.79909857750755497</v>
      </c>
      <c r="D15">
        <v>0</v>
      </c>
      <c r="E15">
        <v>0.113350521500978</v>
      </c>
      <c r="F15">
        <v>0</v>
      </c>
      <c r="G15">
        <v>29.5103944518209</v>
      </c>
      <c r="H15">
        <v>29.5103944518209</v>
      </c>
      <c r="I15">
        <v>7428.6597933045896</v>
      </c>
      <c r="J15">
        <v>3982633.3387210402</v>
      </c>
      <c r="K15">
        <v>461</v>
      </c>
      <c r="L15">
        <v>369</v>
      </c>
      <c r="M15">
        <v>0</v>
      </c>
      <c r="N15">
        <v>53</v>
      </c>
      <c r="O15">
        <v>13</v>
      </c>
      <c r="P15">
        <v>6</v>
      </c>
      <c r="Q15">
        <v>21</v>
      </c>
      <c r="R15">
        <v>15</v>
      </c>
      <c r="S15">
        <v>5</v>
      </c>
      <c r="T15">
        <v>9</v>
      </c>
      <c r="U15">
        <v>7</v>
      </c>
      <c r="V15">
        <v>0</v>
      </c>
      <c r="W15">
        <v>7</v>
      </c>
      <c r="X15">
        <v>18</v>
      </c>
      <c r="Y15">
        <v>14</v>
      </c>
      <c r="Z15">
        <v>0</v>
      </c>
      <c r="AA15">
        <v>14</v>
      </c>
    </row>
    <row r="16" spans="1:27" x14ac:dyDescent="0.3">
      <c r="A16">
        <v>24582</v>
      </c>
      <c r="B16">
        <v>159417</v>
      </c>
      <c r="C16">
        <v>0.92670665819952802</v>
      </c>
      <c r="D16">
        <v>0</v>
      </c>
      <c r="E16">
        <v>1.3661543505932301E-3</v>
      </c>
      <c r="F16">
        <v>8.1577058008441607</v>
      </c>
      <c r="G16">
        <v>39.2479200447209</v>
      </c>
      <c r="H16">
        <v>47.405625845565098</v>
      </c>
      <c r="I16">
        <v>7428.6599134601101</v>
      </c>
      <c r="J16">
        <v>3982633.4675559499</v>
      </c>
      <c r="K16">
        <v>458</v>
      </c>
      <c r="L16">
        <v>424</v>
      </c>
      <c r="M16">
        <v>0</v>
      </c>
      <c r="N16">
        <v>1</v>
      </c>
      <c r="O16">
        <v>17</v>
      </c>
      <c r="P16">
        <v>13</v>
      </c>
      <c r="Q16">
        <v>19</v>
      </c>
      <c r="R16">
        <v>6</v>
      </c>
      <c r="S16">
        <v>6</v>
      </c>
      <c r="T16">
        <v>6</v>
      </c>
      <c r="U16">
        <v>9</v>
      </c>
      <c r="V16">
        <v>5</v>
      </c>
      <c r="W16">
        <v>9</v>
      </c>
      <c r="X16">
        <v>12</v>
      </c>
      <c r="Y16">
        <v>18</v>
      </c>
      <c r="Z16">
        <v>10</v>
      </c>
      <c r="AA16">
        <v>18</v>
      </c>
    </row>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972EB-3BFE-4F08-BD90-1F48BDC8A715}">
  <dimension ref="B2:M16"/>
  <sheetViews>
    <sheetView workbookViewId="0">
      <selection activeCell="L11" sqref="L11"/>
    </sheetView>
  </sheetViews>
  <sheetFormatPr defaultRowHeight="14.4" x14ac:dyDescent="0.3"/>
  <cols>
    <col min="1" max="1" width="3.109375" customWidth="1"/>
    <col min="2" max="2" width="13.6640625" customWidth="1"/>
    <col min="3" max="3" width="12" bestFit="1" customWidth="1"/>
    <col min="4" max="4" width="11.33203125" bestFit="1" customWidth="1"/>
  </cols>
  <sheetData>
    <row r="2" spans="2:13" x14ac:dyDescent="0.3">
      <c r="C2" s="63" t="s">
        <v>382</v>
      </c>
      <c r="D2" s="63" t="s">
        <v>382</v>
      </c>
    </row>
    <row r="3" spans="2:13" x14ac:dyDescent="0.3">
      <c r="B3" s="61" t="s">
        <v>245</v>
      </c>
      <c r="C3" s="63" t="s">
        <v>383</v>
      </c>
      <c r="D3" s="64" t="s">
        <v>384</v>
      </c>
      <c r="E3" s="60"/>
      <c r="M3" s="60"/>
    </row>
    <row r="4" spans="2:13" x14ac:dyDescent="0.3">
      <c r="B4" s="70" t="s">
        <v>246</v>
      </c>
      <c r="C4" s="63">
        <v>1.6465250156540216E-2</v>
      </c>
      <c r="D4" s="64">
        <v>3.5990313013993261E-2</v>
      </c>
      <c r="E4" s="60"/>
    </row>
    <row r="5" spans="2:13" x14ac:dyDescent="0.3">
      <c r="B5" s="70" t="s">
        <v>247</v>
      </c>
      <c r="C5" s="63">
        <v>1.5615221198574572E-2</v>
      </c>
      <c r="D5" s="64">
        <v>2.4287640268739003E-2</v>
      </c>
      <c r="E5" s="60"/>
    </row>
    <row r="6" spans="2:13" x14ac:dyDescent="0.3">
      <c r="B6" s="70" t="s">
        <v>248</v>
      </c>
      <c r="C6" s="63">
        <v>3.195266160252231E-2</v>
      </c>
      <c r="D6" s="64">
        <v>2.6990658283985388E-2</v>
      </c>
      <c r="E6" s="60"/>
    </row>
    <row r="7" spans="2:13" x14ac:dyDescent="0.3">
      <c r="B7" s="70" t="s">
        <v>249</v>
      </c>
      <c r="C7" s="63">
        <v>1.9699867662153519E-2</v>
      </c>
      <c r="D7" s="64">
        <v>1.3066379160471426E-2</v>
      </c>
      <c r="E7" s="60"/>
    </row>
    <row r="8" spans="2:13" x14ac:dyDescent="0.3">
      <c r="B8" s="70" t="s">
        <v>242</v>
      </c>
      <c r="C8" s="63">
        <v>1.9512302850000194E-2</v>
      </c>
      <c r="D8" s="64">
        <v>1.2024674308902259E-2</v>
      </c>
      <c r="E8" s="60"/>
    </row>
    <row r="9" spans="2:13" x14ac:dyDescent="0.3">
      <c r="B9" s="70" t="s">
        <v>250</v>
      </c>
      <c r="C9" s="63">
        <v>1.782356260884985E-2</v>
      </c>
      <c r="D9" s="64">
        <v>2.9745043736646361E-2</v>
      </c>
      <c r="E9" s="60"/>
    </row>
    <row r="10" spans="2:13" x14ac:dyDescent="0.3">
      <c r="B10" s="70" t="s">
        <v>254</v>
      </c>
      <c r="C10" s="63">
        <v>2.508906394952868E-2</v>
      </c>
      <c r="D10" s="64">
        <v>2.4222517026481549E-2</v>
      </c>
      <c r="E10" s="60"/>
    </row>
    <row r="11" spans="2:13" x14ac:dyDescent="0.3">
      <c r="B11" s="70" t="s">
        <v>251</v>
      </c>
      <c r="C11" s="63">
        <v>2.4045854892342022E-2</v>
      </c>
      <c r="D11" s="64">
        <v>4.1038431317052267E-2</v>
      </c>
      <c r="E11" s="60"/>
    </row>
    <row r="12" spans="2:13" x14ac:dyDescent="0.3">
      <c r="B12" s="127"/>
      <c r="C12" s="128"/>
      <c r="D12" s="129"/>
      <c r="E12" s="60"/>
    </row>
    <row r="13" spans="2:13" x14ac:dyDescent="0.3">
      <c r="B13" s="247" t="s">
        <v>382</v>
      </c>
      <c r="C13" s="247"/>
    </row>
    <row r="14" spans="2:13" x14ac:dyDescent="0.3">
      <c r="B14" s="70" t="s">
        <v>450</v>
      </c>
      <c r="C14" s="210">
        <f>'Inputs &amp; Outputs'!$C$40</f>
        <v>27211</v>
      </c>
    </row>
    <row r="15" spans="2:13" ht="28.8" x14ac:dyDescent="0.3">
      <c r="B15" s="53" t="s">
        <v>451</v>
      </c>
      <c r="C15" s="210">
        <f>'Inputs &amp; Outputs'!$C$41</f>
        <v>31285</v>
      </c>
    </row>
    <row r="16" spans="2:13" x14ac:dyDescent="0.3">
      <c r="B16" s="70" t="s">
        <v>382</v>
      </c>
      <c r="C16" s="211">
        <f>(($C$15/$C$14)^(1/(Year_Open_to_Traffic?-2021))-1)</f>
        <v>2.3525364251317127E-2</v>
      </c>
    </row>
  </sheetData>
  <sheetProtection algorithmName="SHA-512" hashValue="wlFcUr8ruXMBofbTe9TJidHrioQLa11IcRq/27ZKrFCQ5hW/JicCUlJCIb4H9p3QSiUiRJzRBMg+XGc9DFxL/g==" saltValue="xHfYryPlJOc+1rDgk+mzBQ==" spinCount="100000" sheet="1" objects="1" scenarios="1"/>
  <mergeCells count="1">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4.4" x14ac:dyDescent="0.3"/>
  <cols>
    <col min="1" max="1" width="38.88671875" customWidth="1"/>
    <col min="2" max="2" width="12.5546875" customWidth="1"/>
    <col min="3" max="3" width="5.33203125" customWidth="1"/>
    <col min="4" max="4" width="33.5546875" bestFit="1" customWidth="1"/>
    <col min="5" max="5" width="13.33203125" customWidth="1"/>
    <col min="6" max="6" width="4.5546875" customWidth="1"/>
    <col min="8" max="8" width="2.109375" hidden="1" customWidth="1"/>
    <col min="9" max="9" width="18.6640625" bestFit="1" customWidth="1"/>
    <col min="10" max="10" width="38.33203125" bestFit="1" customWidth="1"/>
  </cols>
  <sheetData>
    <row r="3" spans="1:10" x14ac:dyDescent="0.3">
      <c r="A3" s="5" t="s">
        <v>0</v>
      </c>
      <c r="D3" s="5" t="s">
        <v>19</v>
      </c>
      <c r="E3" s="6" t="s">
        <v>9</v>
      </c>
      <c r="G3" s="12" t="s">
        <v>13</v>
      </c>
      <c r="H3" s="12"/>
      <c r="I3" s="12" t="s">
        <v>20</v>
      </c>
      <c r="J3" s="12" t="s">
        <v>49</v>
      </c>
    </row>
    <row r="4" spans="1:10" x14ac:dyDescent="0.3">
      <c r="A4" s="3" t="s">
        <v>5</v>
      </c>
      <c r="B4" s="4"/>
      <c r="D4" s="3" t="s">
        <v>46</v>
      </c>
      <c r="E4" s="4">
        <v>2015</v>
      </c>
      <c r="G4" s="10">
        <f>E4</f>
        <v>2015</v>
      </c>
      <c r="H4" s="10">
        <f>IF(G4&lt;2041,1,0)</f>
        <v>1</v>
      </c>
      <c r="I4" s="19">
        <f>IF($G4&lt;($G$4+$E$5),$E$17,0)*H4</f>
        <v>0</v>
      </c>
      <c r="J4" s="28" t="e">
        <f>I4*$B$18*$B$19/10^3</f>
        <v>#REF!</v>
      </c>
    </row>
    <row r="5" spans="1:10" x14ac:dyDescent="0.3">
      <c r="A5" s="3" t="s">
        <v>6</v>
      </c>
      <c r="B5" s="4"/>
      <c r="D5" s="3" t="s">
        <v>36</v>
      </c>
      <c r="E5" s="7">
        <v>10</v>
      </c>
      <c r="G5" s="11">
        <f t="shared" ref="G5:G29" si="0">G4+1</f>
        <v>2016</v>
      </c>
      <c r="H5" s="11">
        <f t="shared" ref="H5:H29" si="1">IF(G5&lt;2041,1,0)</f>
        <v>1</v>
      </c>
      <c r="I5" s="19">
        <f t="shared" ref="I5:I29" si="2">IF($G5&lt;($G$4+$E$5),$E$17,0)*H5</f>
        <v>0</v>
      </c>
      <c r="J5" s="35" t="e">
        <f t="shared" ref="J5:J24" si="3">I5*$B$18*$B$19/10^3</f>
        <v>#REF!</v>
      </c>
    </row>
    <row r="6" spans="1:10" x14ac:dyDescent="0.3">
      <c r="A6" s="3" t="s">
        <v>7</v>
      </c>
      <c r="B6" s="4">
        <v>1</v>
      </c>
      <c r="D6" s="212" t="s">
        <v>34</v>
      </c>
      <c r="E6" s="213"/>
      <c r="G6" s="10">
        <f t="shared" si="0"/>
        <v>2017</v>
      </c>
      <c r="H6" s="10">
        <f t="shared" si="1"/>
        <v>1</v>
      </c>
      <c r="I6" s="19">
        <f t="shared" si="2"/>
        <v>0</v>
      </c>
      <c r="J6" s="28" t="e">
        <f t="shared" si="3"/>
        <v>#REF!</v>
      </c>
    </row>
    <row r="7" spans="1:10" x14ac:dyDescent="0.3">
      <c r="A7" s="3" t="s">
        <v>47</v>
      </c>
      <c r="B7" s="20"/>
      <c r="D7" s="3" t="s">
        <v>44</v>
      </c>
      <c r="E7" s="7"/>
      <c r="G7" s="11">
        <f t="shared" si="0"/>
        <v>2018</v>
      </c>
      <c r="H7" s="11">
        <f t="shared" si="1"/>
        <v>1</v>
      </c>
      <c r="I7" s="19">
        <f t="shared" si="2"/>
        <v>0</v>
      </c>
      <c r="J7" s="35" t="e">
        <f t="shared" si="3"/>
        <v>#REF!</v>
      </c>
    </row>
    <row r="8" spans="1:10" x14ac:dyDescent="0.3">
      <c r="A8" s="3" t="s">
        <v>48</v>
      </c>
      <c r="B8" s="20"/>
      <c r="D8" s="3" t="s">
        <v>42</v>
      </c>
      <c r="E8" s="38">
        <v>1.1499999999999999</v>
      </c>
      <c r="G8" s="10">
        <f t="shared" si="0"/>
        <v>2019</v>
      </c>
      <c r="H8" s="10">
        <f t="shared" si="1"/>
        <v>1</v>
      </c>
      <c r="I8" s="19">
        <f t="shared" si="2"/>
        <v>0</v>
      </c>
      <c r="J8" s="28" t="e">
        <f t="shared" si="3"/>
        <v>#REF!</v>
      </c>
    </row>
    <row r="9" spans="1:10" x14ac:dyDescent="0.3">
      <c r="G9" s="11">
        <f t="shared" si="0"/>
        <v>2020</v>
      </c>
      <c r="H9" s="11">
        <f t="shared" si="1"/>
        <v>1</v>
      </c>
      <c r="I9" s="19">
        <f t="shared" si="2"/>
        <v>0</v>
      </c>
      <c r="J9" s="35" t="e">
        <f t="shared" si="3"/>
        <v>#REF!</v>
      </c>
    </row>
    <row r="10" spans="1:10" x14ac:dyDescent="0.3">
      <c r="A10" s="9" t="s">
        <v>18</v>
      </c>
      <c r="G10" s="10">
        <f t="shared" si="0"/>
        <v>2021</v>
      </c>
      <c r="H10" s="10">
        <f t="shared" si="1"/>
        <v>1</v>
      </c>
      <c r="I10" s="19">
        <f t="shared" si="2"/>
        <v>0</v>
      </c>
      <c r="J10" s="28" t="e">
        <f t="shared" si="3"/>
        <v>#REF!</v>
      </c>
    </row>
    <row r="11" spans="1:10" x14ac:dyDescent="0.3">
      <c r="A11" s="8" t="s">
        <v>45</v>
      </c>
      <c r="B11" s="36" t="e">
        <f>NPV($B$17,J4:J29)/(1+$B$17)^(E4-B16+1)</f>
        <v>#REF!</v>
      </c>
      <c r="G11" s="11">
        <f t="shared" si="0"/>
        <v>2022</v>
      </c>
      <c r="H11" s="11">
        <f t="shared" si="1"/>
        <v>1</v>
      </c>
      <c r="I11" s="19">
        <f t="shared" si="2"/>
        <v>0</v>
      </c>
      <c r="J11" s="35" t="e">
        <f t="shared" si="3"/>
        <v>#REF!</v>
      </c>
    </row>
    <row r="12" spans="1:10" x14ac:dyDescent="0.3">
      <c r="A12" s="8" t="s">
        <v>17</v>
      </c>
      <c r="B12" s="34" t="e">
        <f>B11/B7</f>
        <v>#REF!</v>
      </c>
      <c r="G12" s="10">
        <f t="shared" si="0"/>
        <v>2023</v>
      </c>
      <c r="H12" s="10">
        <f t="shared" si="1"/>
        <v>1</v>
      </c>
      <c r="I12" s="19">
        <f t="shared" si="2"/>
        <v>0</v>
      </c>
      <c r="J12" s="28" t="e">
        <f t="shared" si="3"/>
        <v>#REF!</v>
      </c>
    </row>
    <row r="13" spans="1:10" x14ac:dyDescent="0.3">
      <c r="G13" s="11">
        <f t="shared" si="0"/>
        <v>2024</v>
      </c>
      <c r="H13" s="11">
        <f t="shared" si="1"/>
        <v>1</v>
      </c>
      <c r="I13" s="19">
        <f t="shared" si="2"/>
        <v>0</v>
      </c>
      <c r="J13" s="35" t="e">
        <f t="shared" si="3"/>
        <v>#REF!</v>
      </c>
    </row>
    <row r="14" spans="1:10" x14ac:dyDescent="0.3">
      <c r="G14" s="10">
        <f>G13+1</f>
        <v>2025</v>
      </c>
      <c r="H14" s="10">
        <f t="shared" si="1"/>
        <v>1</v>
      </c>
      <c r="I14" s="19">
        <f t="shared" si="2"/>
        <v>0</v>
      </c>
      <c r="J14" s="28" t="e">
        <f t="shared" si="3"/>
        <v>#REF!</v>
      </c>
    </row>
    <row r="15" spans="1:10" x14ac:dyDescent="0.3">
      <c r="A15" s="13" t="s">
        <v>1</v>
      </c>
      <c r="G15" s="11">
        <f t="shared" si="0"/>
        <v>2026</v>
      </c>
      <c r="H15" s="11">
        <f t="shared" si="1"/>
        <v>1</v>
      </c>
      <c r="I15" s="19">
        <f t="shared" si="2"/>
        <v>0</v>
      </c>
      <c r="J15" s="35" t="e">
        <f t="shared" si="3"/>
        <v>#REF!</v>
      </c>
    </row>
    <row r="16" spans="1:10" x14ac:dyDescent="0.3">
      <c r="A16" s="14" t="s">
        <v>2</v>
      </c>
      <c r="B16" s="14">
        <f>'Assumed Values'!C5</f>
        <v>2022</v>
      </c>
      <c r="D16" s="13" t="s">
        <v>15</v>
      </c>
      <c r="E16" s="21" t="s">
        <v>9</v>
      </c>
      <c r="G16" s="10">
        <f t="shared" si="0"/>
        <v>2027</v>
      </c>
      <c r="H16" s="10">
        <f t="shared" si="1"/>
        <v>1</v>
      </c>
      <c r="I16" s="19">
        <f t="shared" si="2"/>
        <v>0</v>
      </c>
      <c r="J16" s="28" t="e">
        <f t="shared" si="3"/>
        <v>#REF!</v>
      </c>
    </row>
    <row r="17" spans="1:10" x14ac:dyDescent="0.3">
      <c r="A17" s="14" t="s">
        <v>3</v>
      </c>
      <c r="B17" s="15">
        <f>'Assumed Values'!C6</f>
        <v>3.1E-2</v>
      </c>
      <c r="D17" s="17" t="s">
        <v>43</v>
      </c>
      <c r="E17" s="18">
        <f>E7/E8</f>
        <v>0</v>
      </c>
      <c r="G17" s="11">
        <f t="shared" si="0"/>
        <v>2028</v>
      </c>
      <c r="H17" s="11">
        <f t="shared" si="1"/>
        <v>1</v>
      </c>
      <c r="I17" s="19">
        <f t="shared" si="2"/>
        <v>0</v>
      </c>
      <c r="J17" s="35" t="e">
        <f t="shared" si="3"/>
        <v>#REF!</v>
      </c>
    </row>
    <row r="18" spans="1:10" x14ac:dyDescent="0.3">
      <c r="A18" s="14" t="s">
        <v>4</v>
      </c>
      <c r="B18" s="14">
        <f>IF(B6=2,2.1, 1.1)</f>
        <v>1.1000000000000001</v>
      </c>
      <c r="G18" s="10">
        <f t="shared" si="0"/>
        <v>2029</v>
      </c>
      <c r="H18" s="10">
        <f t="shared" si="1"/>
        <v>1</v>
      </c>
      <c r="I18" s="19">
        <f t="shared" si="2"/>
        <v>0</v>
      </c>
      <c r="J18" s="28" t="e">
        <f t="shared" si="3"/>
        <v>#REF!</v>
      </c>
    </row>
    <row r="19" spans="1:10" x14ac:dyDescent="0.3">
      <c r="A19" s="14" t="s">
        <v>8</v>
      </c>
      <c r="B19" s="16" t="e">
        <f>'Assumed Values'!C15</f>
        <v>#REF!</v>
      </c>
      <c r="G19" s="11">
        <f t="shared" si="0"/>
        <v>2030</v>
      </c>
      <c r="H19" s="11">
        <f t="shared" si="1"/>
        <v>1</v>
      </c>
      <c r="I19" s="19">
        <f t="shared" si="2"/>
        <v>0</v>
      </c>
      <c r="J19" s="35" t="e">
        <f t="shared" si="3"/>
        <v>#REF!</v>
      </c>
    </row>
    <row r="20" spans="1:10" x14ac:dyDescent="0.3">
      <c r="A20" s="14" t="s">
        <v>16</v>
      </c>
      <c r="B20" s="14">
        <v>260</v>
      </c>
      <c r="G20" s="10">
        <f t="shared" si="0"/>
        <v>2031</v>
      </c>
      <c r="H20" s="10">
        <f t="shared" si="1"/>
        <v>1</v>
      </c>
      <c r="I20" s="19">
        <f t="shared" si="2"/>
        <v>0</v>
      </c>
      <c r="J20" s="28" t="e">
        <f t="shared" si="3"/>
        <v>#REF!</v>
      </c>
    </row>
    <row r="21" spans="1:10" x14ac:dyDescent="0.3">
      <c r="G21" s="11">
        <f t="shared" si="0"/>
        <v>2032</v>
      </c>
      <c r="H21" s="11">
        <f t="shared" si="1"/>
        <v>1</v>
      </c>
      <c r="I21" s="19">
        <f t="shared" si="2"/>
        <v>0</v>
      </c>
      <c r="J21" s="35" t="e">
        <f t="shared" si="3"/>
        <v>#REF!</v>
      </c>
    </row>
    <row r="22" spans="1:10" x14ac:dyDescent="0.3">
      <c r="G22" s="10">
        <f t="shared" si="0"/>
        <v>2033</v>
      </c>
      <c r="H22" s="10">
        <f t="shared" si="1"/>
        <v>1</v>
      </c>
      <c r="I22" s="19">
        <f t="shared" si="2"/>
        <v>0</v>
      </c>
      <c r="J22" s="28" t="e">
        <f t="shared" si="3"/>
        <v>#REF!</v>
      </c>
    </row>
    <row r="23" spans="1:10" x14ac:dyDescent="0.3">
      <c r="G23" s="11">
        <f t="shared" si="0"/>
        <v>2034</v>
      </c>
      <c r="H23" s="11">
        <f t="shared" si="1"/>
        <v>1</v>
      </c>
      <c r="I23" s="19">
        <f t="shared" si="2"/>
        <v>0</v>
      </c>
      <c r="J23" s="35" t="e">
        <f t="shared" si="3"/>
        <v>#REF!</v>
      </c>
    </row>
    <row r="24" spans="1:10" x14ac:dyDescent="0.3">
      <c r="G24" s="10">
        <f t="shared" si="0"/>
        <v>2035</v>
      </c>
      <c r="H24" s="10">
        <f t="shared" si="1"/>
        <v>1</v>
      </c>
      <c r="I24" s="19">
        <f t="shared" si="2"/>
        <v>0</v>
      </c>
      <c r="J24" s="28" t="e">
        <f t="shared" si="3"/>
        <v>#REF!</v>
      </c>
    </row>
    <row r="25" spans="1:10" x14ac:dyDescent="0.3">
      <c r="G25" s="11">
        <f t="shared" si="0"/>
        <v>2036</v>
      </c>
      <c r="H25" s="11">
        <f t="shared" si="1"/>
        <v>1</v>
      </c>
      <c r="I25" s="19">
        <f t="shared" si="2"/>
        <v>0</v>
      </c>
      <c r="J25" s="35" t="e">
        <f t="shared" ref="J25:J29" si="4">I25*$B$18*$B$19/10^3</f>
        <v>#REF!</v>
      </c>
    </row>
    <row r="26" spans="1:10" x14ac:dyDescent="0.3">
      <c r="G26" s="10">
        <f t="shared" si="0"/>
        <v>2037</v>
      </c>
      <c r="H26" s="10">
        <f t="shared" si="1"/>
        <v>1</v>
      </c>
      <c r="I26" s="19">
        <f t="shared" si="2"/>
        <v>0</v>
      </c>
      <c r="J26" s="28" t="e">
        <f t="shared" si="4"/>
        <v>#REF!</v>
      </c>
    </row>
    <row r="27" spans="1:10" x14ac:dyDescent="0.3">
      <c r="G27" s="11">
        <f t="shared" si="0"/>
        <v>2038</v>
      </c>
      <c r="H27" s="11">
        <f t="shared" si="1"/>
        <v>1</v>
      </c>
      <c r="I27" s="19">
        <f t="shared" si="2"/>
        <v>0</v>
      </c>
      <c r="J27" s="35" t="e">
        <f t="shared" si="4"/>
        <v>#REF!</v>
      </c>
    </row>
    <row r="28" spans="1:10" x14ac:dyDescent="0.3">
      <c r="G28" s="10">
        <f t="shared" si="0"/>
        <v>2039</v>
      </c>
      <c r="H28" s="10">
        <f t="shared" si="1"/>
        <v>1</v>
      </c>
      <c r="I28" s="19">
        <f t="shared" si="2"/>
        <v>0</v>
      </c>
      <c r="J28" s="28" t="e">
        <f t="shared" si="4"/>
        <v>#REF!</v>
      </c>
    </row>
    <row r="29" spans="1:10" x14ac:dyDescent="0.3">
      <c r="A29" s="22"/>
      <c r="G29" s="11">
        <f t="shared" si="0"/>
        <v>2040</v>
      </c>
      <c r="H29" s="11">
        <f t="shared" si="1"/>
        <v>1</v>
      </c>
      <c r="I29" s="19">
        <f t="shared" si="2"/>
        <v>0</v>
      </c>
      <c r="J29" s="35" t="e">
        <f t="shared" si="4"/>
        <v>#REF!</v>
      </c>
    </row>
    <row r="51" spans="1:1" x14ac:dyDescent="0.3">
      <c r="A51" t="s">
        <v>10</v>
      </c>
    </row>
    <row r="52" spans="1:1" x14ac:dyDescent="0.3">
      <c r="A52" t="s">
        <v>12</v>
      </c>
    </row>
    <row r="53" spans="1:1" x14ac:dyDescent="0.3">
      <c r="A53" t="s">
        <v>11</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4.4" x14ac:dyDescent="0.3"/>
  <cols>
    <col min="1" max="1" width="54.33203125" customWidth="1"/>
    <col min="2" max="2" width="12.5546875" customWidth="1"/>
    <col min="3" max="3" width="5.33203125" customWidth="1"/>
    <col min="4" max="4" width="37.44140625" bestFit="1" customWidth="1"/>
    <col min="5" max="5" width="13.33203125" customWidth="1"/>
    <col min="6" max="6" width="4.5546875" customWidth="1"/>
    <col min="8" max="8" width="26.44140625" bestFit="1" customWidth="1"/>
    <col min="9" max="9" width="34.5546875" bestFit="1" customWidth="1"/>
    <col min="10" max="10" width="24.109375" bestFit="1" customWidth="1"/>
    <col min="11" max="11" width="33.44140625" bestFit="1" customWidth="1"/>
  </cols>
  <sheetData>
    <row r="3" spans="1:11" x14ac:dyDescent="0.3">
      <c r="A3" s="5" t="s">
        <v>0</v>
      </c>
      <c r="D3" s="5" t="s">
        <v>32</v>
      </c>
      <c r="E3" s="6" t="s">
        <v>9</v>
      </c>
      <c r="G3" s="12" t="s">
        <v>13</v>
      </c>
      <c r="H3" s="12" t="s">
        <v>41</v>
      </c>
      <c r="I3" s="12" t="s">
        <v>50</v>
      </c>
      <c r="J3" s="12" t="s">
        <v>40</v>
      </c>
      <c r="K3" s="12" t="s">
        <v>51</v>
      </c>
    </row>
    <row r="4" spans="1:11" x14ac:dyDescent="0.3">
      <c r="A4" s="3" t="s">
        <v>5</v>
      </c>
      <c r="B4" s="4"/>
      <c r="D4" s="3" t="s">
        <v>46</v>
      </c>
      <c r="E4" s="4">
        <v>2015</v>
      </c>
      <c r="G4" s="10">
        <f>E4</f>
        <v>2015</v>
      </c>
      <c r="H4" s="31">
        <f t="shared" ref="H4:H24" si="0">IF($G4&lt;($G$4+$E$5),$E$17,0)</f>
        <v>0</v>
      </c>
      <c r="I4" s="30" t="e">
        <f>H4*$B$20/10^3</f>
        <v>#REF!</v>
      </c>
      <c r="J4" s="31">
        <f t="shared" ref="J4:J24" si="1">IF($G4&lt;($G$4+$E$5),$E$18,0)</f>
        <v>0</v>
      </c>
      <c r="K4" s="30" t="e">
        <f>J4*$B$21/10^3</f>
        <v>#REF!</v>
      </c>
    </row>
    <row r="5" spans="1:11" x14ac:dyDescent="0.3">
      <c r="A5" s="3" t="s">
        <v>6</v>
      </c>
      <c r="B5" s="4"/>
      <c r="D5" s="3" t="s">
        <v>36</v>
      </c>
      <c r="E5" s="7">
        <v>10</v>
      </c>
      <c r="G5" s="11">
        <f t="shared" ref="G5:G29" si="2">G4+1</f>
        <v>2016</v>
      </c>
      <c r="H5" s="31">
        <f t="shared" si="0"/>
        <v>0</v>
      </c>
      <c r="I5" s="32" t="e">
        <f t="shared" ref="I5:I24" si="3">H5*$B$20/10^3</f>
        <v>#REF!</v>
      </c>
      <c r="J5" s="31">
        <f t="shared" si="1"/>
        <v>0</v>
      </c>
      <c r="K5" s="32" t="e">
        <f t="shared" ref="K5:K24" si="4">J5*$B$21/10^3</f>
        <v>#REF!</v>
      </c>
    </row>
    <row r="6" spans="1:11" x14ac:dyDescent="0.3">
      <c r="A6" s="3" t="s">
        <v>37</v>
      </c>
      <c r="B6" s="4">
        <v>2</v>
      </c>
      <c r="D6" s="212" t="s">
        <v>34</v>
      </c>
      <c r="E6" s="213"/>
      <c r="G6" s="10">
        <f t="shared" si="2"/>
        <v>2017</v>
      </c>
      <c r="H6" s="31">
        <f t="shared" si="0"/>
        <v>0</v>
      </c>
      <c r="I6" s="30" t="e">
        <f t="shared" si="3"/>
        <v>#REF!</v>
      </c>
      <c r="J6" s="31">
        <f t="shared" si="1"/>
        <v>0</v>
      </c>
      <c r="K6" s="30" t="e">
        <f t="shared" si="4"/>
        <v>#REF!</v>
      </c>
    </row>
    <row r="7" spans="1:11" x14ac:dyDescent="0.3">
      <c r="A7" s="3" t="s">
        <v>47</v>
      </c>
      <c r="B7" s="20"/>
      <c r="D7" s="3" t="s">
        <v>33</v>
      </c>
      <c r="E7" s="7"/>
      <c r="G7" s="11">
        <f t="shared" si="2"/>
        <v>2018</v>
      </c>
      <c r="H7" s="31">
        <f t="shared" si="0"/>
        <v>0</v>
      </c>
      <c r="I7" s="32" t="e">
        <f t="shared" si="3"/>
        <v>#REF!</v>
      </c>
      <c r="J7" s="31">
        <f t="shared" si="1"/>
        <v>0</v>
      </c>
      <c r="K7" s="32" t="e">
        <f t="shared" si="4"/>
        <v>#REF!</v>
      </c>
    </row>
    <row r="8" spans="1:11" x14ac:dyDescent="0.3">
      <c r="A8" s="3" t="s">
        <v>48</v>
      </c>
      <c r="B8" s="20"/>
      <c r="D8" s="212" t="s">
        <v>35</v>
      </c>
      <c r="E8" s="213"/>
      <c r="G8" s="10">
        <f t="shared" si="2"/>
        <v>2019</v>
      </c>
      <c r="H8" s="31">
        <f t="shared" si="0"/>
        <v>0</v>
      </c>
      <c r="I8" s="30" t="e">
        <f t="shared" si="3"/>
        <v>#REF!</v>
      </c>
      <c r="J8" s="31">
        <f t="shared" si="1"/>
        <v>0</v>
      </c>
      <c r="K8" s="30" t="e">
        <f t="shared" si="4"/>
        <v>#REF!</v>
      </c>
    </row>
    <row r="9" spans="1:11" x14ac:dyDescent="0.3">
      <c r="D9" s="3" t="s">
        <v>38</v>
      </c>
      <c r="E9" s="7"/>
      <c r="G9" s="11">
        <f t="shared" si="2"/>
        <v>2020</v>
      </c>
      <c r="H9" s="31">
        <f t="shared" si="0"/>
        <v>0</v>
      </c>
      <c r="I9" s="32" t="e">
        <f t="shared" si="3"/>
        <v>#REF!</v>
      </c>
      <c r="J9" s="31">
        <f t="shared" si="1"/>
        <v>0</v>
      </c>
      <c r="K9" s="32" t="e">
        <f t="shared" si="4"/>
        <v>#REF!</v>
      </c>
    </row>
    <row r="10" spans="1:11" x14ac:dyDescent="0.3">
      <c r="A10" s="9" t="s">
        <v>18</v>
      </c>
      <c r="D10" s="3" t="s">
        <v>39</v>
      </c>
      <c r="E10" s="7"/>
      <c r="G10" s="10">
        <f t="shared" si="2"/>
        <v>2021</v>
      </c>
      <c r="H10" s="31">
        <f t="shared" si="0"/>
        <v>0</v>
      </c>
      <c r="I10" s="30" t="e">
        <f t="shared" si="3"/>
        <v>#REF!</v>
      </c>
      <c r="J10" s="31">
        <f t="shared" si="1"/>
        <v>0</v>
      </c>
      <c r="K10" s="30" t="e">
        <f t="shared" si="4"/>
        <v>#REF!</v>
      </c>
    </row>
    <row r="11" spans="1:11" x14ac:dyDescent="0.3">
      <c r="A11" s="8" t="s">
        <v>52</v>
      </c>
      <c r="B11" s="33" t="e">
        <f>(NPV($B$17,K4:K24)+NPV($B$17,I4:I24))/(1+$B$17)^2</f>
        <v>#REF!</v>
      </c>
      <c r="G11" s="11">
        <f t="shared" si="2"/>
        <v>2022</v>
      </c>
      <c r="H11" s="31">
        <f t="shared" si="0"/>
        <v>0</v>
      </c>
      <c r="I11" s="32" t="e">
        <f t="shared" si="3"/>
        <v>#REF!</v>
      </c>
      <c r="J11" s="31">
        <f t="shared" si="1"/>
        <v>0</v>
      </c>
      <c r="K11" s="32" t="e">
        <f t="shared" si="4"/>
        <v>#REF!</v>
      </c>
    </row>
    <row r="12" spans="1:11" x14ac:dyDescent="0.3">
      <c r="A12" s="8" t="s">
        <v>17</v>
      </c>
      <c r="B12" s="34" t="e">
        <f>B11/B7</f>
        <v>#REF!</v>
      </c>
      <c r="G12" s="10">
        <f t="shared" si="2"/>
        <v>2023</v>
      </c>
      <c r="H12" s="31">
        <f t="shared" si="0"/>
        <v>0</v>
      </c>
      <c r="I12" s="30" t="e">
        <f t="shared" si="3"/>
        <v>#REF!</v>
      </c>
      <c r="J12" s="31">
        <f t="shared" si="1"/>
        <v>0</v>
      </c>
      <c r="K12" s="30" t="e">
        <f t="shared" si="4"/>
        <v>#REF!</v>
      </c>
    </row>
    <row r="13" spans="1:11" x14ac:dyDescent="0.3">
      <c r="A13" s="8" t="s">
        <v>53</v>
      </c>
      <c r="B13" s="33" t="e">
        <f>B7*(B17/(1-(1+B17)^(-E5))/(SUM(H4:H29)+SUM(J4:J29)))</f>
        <v>#DIV/0!</v>
      </c>
      <c r="G13" s="11">
        <f t="shared" si="2"/>
        <v>2024</v>
      </c>
      <c r="H13" s="31">
        <f t="shared" si="0"/>
        <v>0</v>
      </c>
      <c r="I13" s="32" t="e">
        <f t="shared" si="3"/>
        <v>#REF!</v>
      </c>
      <c r="J13" s="31">
        <f t="shared" si="1"/>
        <v>0</v>
      </c>
      <c r="K13" s="32" t="e">
        <f t="shared" si="4"/>
        <v>#REF!</v>
      </c>
    </row>
    <row r="14" spans="1:11" x14ac:dyDescent="0.3">
      <c r="G14" s="10">
        <f>G13+1</f>
        <v>2025</v>
      </c>
      <c r="H14" s="31">
        <f t="shared" si="0"/>
        <v>0</v>
      </c>
      <c r="I14" s="30" t="e">
        <f t="shared" si="3"/>
        <v>#REF!</v>
      </c>
      <c r="J14" s="31">
        <f t="shared" si="1"/>
        <v>0</v>
      </c>
      <c r="K14" s="30" t="e">
        <f t="shared" si="4"/>
        <v>#REF!</v>
      </c>
    </row>
    <row r="15" spans="1:11" x14ac:dyDescent="0.3">
      <c r="A15" s="13" t="s">
        <v>1</v>
      </c>
      <c r="G15" s="11">
        <f t="shared" si="2"/>
        <v>2026</v>
      </c>
      <c r="H15" s="31">
        <f t="shared" si="0"/>
        <v>0</v>
      </c>
      <c r="I15" s="32" t="e">
        <f t="shared" si="3"/>
        <v>#REF!</v>
      </c>
      <c r="J15" s="31">
        <f t="shared" si="1"/>
        <v>0</v>
      </c>
      <c r="K15" s="32" t="e">
        <f t="shared" si="4"/>
        <v>#REF!</v>
      </c>
    </row>
    <row r="16" spans="1:11" x14ac:dyDescent="0.3">
      <c r="A16" s="14" t="s">
        <v>2</v>
      </c>
      <c r="B16" s="14">
        <v>2015</v>
      </c>
      <c r="D16" s="13" t="s">
        <v>15</v>
      </c>
      <c r="E16" s="21" t="s">
        <v>9</v>
      </c>
      <c r="G16" s="10">
        <f t="shared" si="2"/>
        <v>2027</v>
      </c>
      <c r="H16" s="31">
        <f t="shared" si="0"/>
        <v>0</v>
      </c>
      <c r="I16" s="30" t="e">
        <f t="shared" si="3"/>
        <v>#REF!</v>
      </c>
      <c r="J16" s="31">
        <f t="shared" si="1"/>
        <v>0</v>
      </c>
      <c r="K16" s="30" t="e">
        <f t="shared" si="4"/>
        <v>#REF!</v>
      </c>
    </row>
    <row r="17" spans="1:11" x14ac:dyDescent="0.3">
      <c r="A17" s="14" t="s">
        <v>3</v>
      </c>
      <c r="B17" s="15">
        <v>7.0000000000000007E-2</v>
      </c>
      <c r="D17" s="17" t="s">
        <v>38</v>
      </c>
      <c r="E17" s="27">
        <f>IF(E9,E9,$E$7*B18*$B$22/10^6)</f>
        <v>0</v>
      </c>
      <c r="G17" s="11">
        <f t="shared" si="2"/>
        <v>2028</v>
      </c>
      <c r="H17" s="31">
        <f t="shared" si="0"/>
        <v>0</v>
      </c>
      <c r="I17" s="32" t="e">
        <f t="shared" si="3"/>
        <v>#REF!</v>
      </c>
      <c r="J17" s="31">
        <f t="shared" si="1"/>
        <v>0</v>
      </c>
      <c r="K17" s="32" t="e">
        <f t="shared" si="4"/>
        <v>#REF!</v>
      </c>
    </row>
    <row r="18" spans="1:11" x14ac:dyDescent="0.3">
      <c r="A18" s="14" t="s">
        <v>30</v>
      </c>
      <c r="B18" s="37">
        <f>IF($B$6=2,'Assumed Values'!C21,0)</f>
        <v>0.32340150000000001</v>
      </c>
      <c r="D18" s="17" t="s">
        <v>39</v>
      </c>
      <c r="E18" s="27">
        <f>IF(E10,E10,$E$7*B19*$B$22/10^6)</f>
        <v>0</v>
      </c>
      <c r="G18" s="10">
        <f t="shared" si="2"/>
        <v>2029</v>
      </c>
      <c r="H18" s="31">
        <f t="shared" si="0"/>
        <v>0</v>
      </c>
      <c r="I18" s="30" t="e">
        <f t="shared" si="3"/>
        <v>#REF!</v>
      </c>
      <c r="J18" s="31">
        <f t="shared" si="1"/>
        <v>0</v>
      </c>
      <c r="K18" s="30" t="e">
        <f t="shared" si="4"/>
        <v>#REF!</v>
      </c>
    </row>
    <row r="19" spans="1:11" x14ac:dyDescent="0.3">
      <c r="A19" s="14" t="s">
        <v>31</v>
      </c>
      <c r="B19" s="37">
        <f>IF($B$6=2,'Assumed Values'!C22,0)</f>
        <v>0.19106300000000001</v>
      </c>
      <c r="G19" s="11">
        <f t="shared" si="2"/>
        <v>2030</v>
      </c>
      <c r="H19" s="31">
        <f t="shared" si="0"/>
        <v>0</v>
      </c>
      <c r="I19" s="32" t="e">
        <f t="shared" si="3"/>
        <v>#REF!</v>
      </c>
      <c r="J19" s="31">
        <f t="shared" si="1"/>
        <v>0</v>
      </c>
      <c r="K19" s="32" t="e">
        <f t="shared" si="4"/>
        <v>#REF!</v>
      </c>
    </row>
    <row r="20" spans="1:11" x14ac:dyDescent="0.3">
      <c r="A20" s="14" t="s">
        <v>54</v>
      </c>
      <c r="B20" s="29" t="e">
        <f>'Assumed Values'!C19</f>
        <v>#REF!</v>
      </c>
      <c r="G20" s="10">
        <f t="shared" si="2"/>
        <v>2031</v>
      </c>
      <c r="H20" s="31">
        <f t="shared" si="0"/>
        <v>0</v>
      </c>
      <c r="I20" s="30" t="e">
        <f t="shared" si="3"/>
        <v>#REF!</v>
      </c>
      <c r="J20" s="31">
        <f t="shared" si="1"/>
        <v>0</v>
      </c>
      <c r="K20" s="30" t="e">
        <f t="shared" si="4"/>
        <v>#REF!</v>
      </c>
    </row>
    <row r="21" spans="1:11" x14ac:dyDescent="0.3">
      <c r="A21" s="14" t="s">
        <v>55</v>
      </c>
      <c r="B21" s="29" t="e">
        <f>'Assumed Values'!C20</f>
        <v>#REF!</v>
      </c>
      <c r="G21" s="11">
        <f t="shared" si="2"/>
        <v>2032</v>
      </c>
      <c r="H21" s="31">
        <f t="shared" si="0"/>
        <v>0</v>
      </c>
      <c r="I21" s="32" t="e">
        <f t="shared" si="3"/>
        <v>#REF!</v>
      </c>
      <c r="J21" s="31">
        <f t="shared" si="1"/>
        <v>0</v>
      </c>
      <c r="K21" s="32" t="e">
        <f t="shared" si="4"/>
        <v>#REF!</v>
      </c>
    </row>
    <row r="22" spans="1:11" x14ac:dyDescent="0.3">
      <c r="A22" s="14" t="s">
        <v>16</v>
      </c>
      <c r="B22" s="14">
        <v>260</v>
      </c>
      <c r="G22" s="10">
        <f t="shared" si="2"/>
        <v>2033</v>
      </c>
      <c r="H22" s="31">
        <f t="shared" si="0"/>
        <v>0</v>
      </c>
      <c r="I22" s="30" t="e">
        <f t="shared" si="3"/>
        <v>#REF!</v>
      </c>
      <c r="J22" s="31">
        <f t="shared" si="1"/>
        <v>0</v>
      </c>
      <c r="K22" s="30" t="e">
        <f t="shared" si="4"/>
        <v>#REF!</v>
      </c>
    </row>
    <row r="23" spans="1:11" x14ac:dyDescent="0.3">
      <c r="G23" s="11">
        <f t="shared" si="2"/>
        <v>2034</v>
      </c>
      <c r="H23" s="31">
        <f t="shared" si="0"/>
        <v>0</v>
      </c>
      <c r="I23" s="32" t="e">
        <f t="shared" si="3"/>
        <v>#REF!</v>
      </c>
      <c r="J23" s="31">
        <f t="shared" si="1"/>
        <v>0</v>
      </c>
      <c r="K23" s="32" t="e">
        <f t="shared" si="4"/>
        <v>#REF!</v>
      </c>
    </row>
    <row r="24" spans="1:11" x14ac:dyDescent="0.3">
      <c r="G24" s="10">
        <f t="shared" si="2"/>
        <v>2035</v>
      </c>
      <c r="H24" s="31">
        <f t="shared" si="0"/>
        <v>0</v>
      </c>
      <c r="I24" s="30" t="e">
        <f t="shared" si="3"/>
        <v>#REF!</v>
      </c>
      <c r="J24" s="31">
        <f t="shared" si="1"/>
        <v>0</v>
      </c>
      <c r="K24" s="30" t="e">
        <f t="shared" si="4"/>
        <v>#REF!</v>
      </c>
    </row>
    <row r="25" spans="1:11" x14ac:dyDescent="0.3">
      <c r="G25" s="11">
        <f t="shared" si="2"/>
        <v>2036</v>
      </c>
      <c r="H25" s="31">
        <f t="shared" ref="H25:H28" si="5">IF($G25&lt;($G$4+$E$5),$E$17,0)</f>
        <v>0</v>
      </c>
      <c r="I25" s="32" t="e">
        <f t="shared" ref="I25:I29" si="6">H25*$B$20/10^3</f>
        <v>#REF!</v>
      </c>
      <c r="J25" s="31">
        <f t="shared" ref="J25:J28" si="7">IF($G25&lt;($G$4+$E$5),$E$18,0)</f>
        <v>0</v>
      </c>
      <c r="K25" s="32" t="e">
        <f t="shared" ref="K25:K29" si="8">J25*$B$21/10^3</f>
        <v>#REF!</v>
      </c>
    </row>
    <row r="26" spans="1:11" x14ac:dyDescent="0.3">
      <c r="G26" s="10">
        <f t="shared" si="2"/>
        <v>2037</v>
      </c>
      <c r="H26" s="31">
        <f t="shared" si="5"/>
        <v>0</v>
      </c>
      <c r="I26" s="30" t="e">
        <f t="shared" si="6"/>
        <v>#REF!</v>
      </c>
      <c r="J26" s="31">
        <f t="shared" si="7"/>
        <v>0</v>
      </c>
      <c r="K26" s="30" t="e">
        <f t="shared" si="8"/>
        <v>#REF!</v>
      </c>
    </row>
    <row r="27" spans="1:11" x14ac:dyDescent="0.3">
      <c r="G27" s="11">
        <f t="shared" si="2"/>
        <v>2038</v>
      </c>
      <c r="H27" s="31">
        <f t="shared" si="5"/>
        <v>0</v>
      </c>
      <c r="I27" s="32" t="e">
        <f t="shared" si="6"/>
        <v>#REF!</v>
      </c>
      <c r="J27" s="31">
        <f t="shared" si="7"/>
        <v>0</v>
      </c>
      <c r="K27" s="32" t="e">
        <f t="shared" si="8"/>
        <v>#REF!</v>
      </c>
    </row>
    <row r="28" spans="1:11" x14ac:dyDescent="0.3">
      <c r="G28" s="10">
        <f t="shared" si="2"/>
        <v>2039</v>
      </c>
      <c r="H28" s="31">
        <f t="shared" si="5"/>
        <v>0</v>
      </c>
      <c r="I28" s="30" t="e">
        <f t="shared" si="6"/>
        <v>#REF!</v>
      </c>
      <c r="J28" s="31">
        <f t="shared" si="7"/>
        <v>0</v>
      </c>
      <c r="K28" s="30" t="e">
        <f t="shared" si="8"/>
        <v>#REF!</v>
      </c>
    </row>
    <row r="29" spans="1:11" x14ac:dyDescent="0.3">
      <c r="G29" s="11">
        <f t="shared" si="2"/>
        <v>2040</v>
      </c>
      <c r="H29" s="31">
        <f>IF($G29&lt;($G$4+$E$5),$E$17,0)</f>
        <v>0</v>
      </c>
      <c r="I29" s="32" t="e">
        <f t="shared" si="6"/>
        <v>#REF!</v>
      </c>
      <c r="J29" s="31">
        <f>IF($G29&lt;($G$4+$E$5),$E$18,0)</f>
        <v>0</v>
      </c>
      <c r="K29" s="32" t="e">
        <f t="shared" si="8"/>
        <v>#REF!</v>
      </c>
    </row>
    <row r="31" spans="1:11" x14ac:dyDescent="0.3">
      <c r="A31" s="22"/>
    </row>
    <row r="53" spans="1:1" x14ac:dyDescent="0.3">
      <c r="A53" t="s">
        <v>10</v>
      </c>
    </row>
    <row r="54" spans="1:1" x14ac:dyDescent="0.3">
      <c r="A54" t="s">
        <v>12</v>
      </c>
    </row>
    <row r="55" spans="1:1" x14ac:dyDescent="0.3">
      <c r="A55" t="s">
        <v>11</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B2:S49"/>
  <sheetViews>
    <sheetView topLeftCell="A12" zoomScale="70" zoomScaleNormal="70" workbookViewId="0">
      <selection activeCell="C51" sqref="C51"/>
    </sheetView>
  </sheetViews>
  <sheetFormatPr defaultColWidth="9.109375" defaultRowHeight="14.4" x14ac:dyDescent="0.3"/>
  <cols>
    <col min="1" max="1" width="9.109375" style="93"/>
    <col min="2" max="2" width="46.6640625" style="93" customWidth="1"/>
    <col min="3" max="3" width="25.5546875" style="93" customWidth="1"/>
    <col min="4" max="4" width="6" style="93" customWidth="1"/>
    <col min="5" max="5" width="5.88671875" style="93" customWidth="1"/>
    <col min="6" max="6" width="23.88671875" style="93" customWidth="1"/>
    <col min="7" max="7" width="19.109375" style="93" customWidth="1"/>
    <col min="8" max="8" width="14.109375" style="93" customWidth="1"/>
    <col min="9" max="9" width="13.6640625" style="93" customWidth="1"/>
    <col min="10" max="10" width="12" style="93" customWidth="1"/>
    <col min="11" max="12" width="9.109375" style="93"/>
    <col min="13" max="13" width="11.5546875" style="93" bestFit="1" customWidth="1"/>
    <col min="14" max="16384" width="9.109375" style="93"/>
  </cols>
  <sheetData>
    <row r="2" spans="2:19" ht="18" x14ac:dyDescent="0.3">
      <c r="B2" s="130" t="s">
        <v>64</v>
      </c>
      <c r="C2" s="131"/>
      <c r="D2" s="131"/>
      <c r="E2" s="131"/>
      <c r="F2" s="131"/>
    </row>
    <row r="4" spans="2:19" x14ac:dyDescent="0.3">
      <c r="B4" s="217" t="s">
        <v>0</v>
      </c>
      <c r="C4" s="218"/>
      <c r="E4" s="132"/>
      <c r="F4" s="93" t="s">
        <v>142</v>
      </c>
    </row>
    <row r="5" spans="2:19" x14ac:dyDescent="0.3">
      <c r="B5" s="132" t="s">
        <v>81</v>
      </c>
      <c r="C5" s="133"/>
      <c r="D5" s="134"/>
      <c r="E5" s="135"/>
      <c r="F5" s="93" t="s">
        <v>224</v>
      </c>
    </row>
    <row r="6" spans="2:19" x14ac:dyDescent="0.3">
      <c r="B6" s="132" t="s">
        <v>74</v>
      </c>
      <c r="C6" s="136" t="s">
        <v>247</v>
      </c>
      <c r="E6" s="137"/>
      <c r="F6" s="93" t="s">
        <v>143</v>
      </c>
    </row>
    <row r="7" spans="2:19" x14ac:dyDescent="0.3">
      <c r="B7" s="132" t="s">
        <v>75</v>
      </c>
      <c r="C7" s="136" t="s">
        <v>243</v>
      </c>
    </row>
    <row r="8" spans="2:19" x14ac:dyDescent="0.3">
      <c r="B8" s="132" t="s">
        <v>82</v>
      </c>
      <c r="C8" s="136"/>
    </row>
    <row r="9" spans="2:19" x14ac:dyDescent="0.3">
      <c r="B9" s="132" t="s">
        <v>71</v>
      </c>
      <c r="C9" s="136"/>
      <c r="E9" s="138" t="s">
        <v>225</v>
      </c>
    </row>
    <row r="10" spans="2:19" x14ac:dyDescent="0.3">
      <c r="B10" s="132" t="s">
        <v>72</v>
      </c>
      <c r="C10" s="136"/>
    </row>
    <row r="11" spans="2:19" x14ac:dyDescent="0.3">
      <c r="B11" s="132" t="s">
        <v>73</v>
      </c>
      <c r="C11" s="136">
        <v>2</v>
      </c>
      <c r="D11" s="139"/>
      <c r="N11" s="216"/>
      <c r="O11" s="216"/>
      <c r="P11" s="216"/>
      <c r="Q11" s="216"/>
      <c r="R11" s="216"/>
      <c r="S11" s="216"/>
    </row>
    <row r="12" spans="2:19" ht="28.8" x14ac:dyDescent="0.3">
      <c r="B12" s="140" t="s">
        <v>233</v>
      </c>
      <c r="C12" s="136"/>
    </row>
    <row r="13" spans="2:19" x14ac:dyDescent="0.3">
      <c r="B13" s="132" t="s">
        <v>232</v>
      </c>
      <c r="C13" s="136"/>
    </row>
    <row r="15" spans="2:19" x14ac:dyDescent="0.3">
      <c r="B15" s="217" t="s">
        <v>141</v>
      </c>
      <c r="C15" s="218"/>
    </row>
    <row r="16" spans="2:19" x14ac:dyDescent="0.3">
      <c r="B16" s="132" t="s">
        <v>176</v>
      </c>
      <c r="C16" s="154">
        <v>2027</v>
      </c>
      <c r="D16" s="134"/>
      <c r="F16" s="141"/>
      <c r="M16" s="139"/>
    </row>
    <row r="17" spans="2:14" ht="28.8" x14ac:dyDescent="0.3">
      <c r="B17" s="142" t="s">
        <v>335</v>
      </c>
      <c r="C17" s="143" t="s">
        <v>95</v>
      </c>
    </row>
    <row r="18" spans="2:14" x14ac:dyDescent="0.3">
      <c r="B18" s="135" t="s">
        <v>140</v>
      </c>
      <c r="C18" s="151">
        <f>VLOOKUP($C$17,'CRF Lookup Table'!$B$3:$F$74,2,FALSE)</f>
        <v>538</v>
      </c>
    </row>
    <row r="19" spans="2:14" s="94" customFormat="1" ht="28.8" x14ac:dyDescent="0.3">
      <c r="B19" s="144" t="s">
        <v>151</v>
      </c>
      <c r="C19" s="152" t="str">
        <f>VLOOKUP($C$17,'CRF Lookup Table'!$B$3:$F$74,5,FALSE)</f>
        <v>Non-Intersection related (Roadway Related)</v>
      </c>
      <c r="D19" s="145"/>
      <c r="M19" s="93"/>
      <c r="N19" s="93"/>
    </row>
    <row r="20" spans="2:14" x14ac:dyDescent="0.3">
      <c r="B20" s="135" t="s">
        <v>67</v>
      </c>
      <c r="C20" s="157">
        <f>VLOOKUP($C$17,'CRF Lookup Table'!$B$3:$F$74,3,FALSE)</f>
        <v>0.45</v>
      </c>
    </row>
    <row r="21" spans="2:14" x14ac:dyDescent="0.3">
      <c r="B21" s="135" t="s">
        <v>66</v>
      </c>
      <c r="C21" s="151">
        <f>VLOOKUP($C$17,'CRF Lookup Table'!$B$3:$F$74,4,FALSE)</f>
        <v>20</v>
      </c>
    </row>
    <row r="22" spans="2:14" x14ac:dyDescent="0.3">
      <c r="B22" s="142" t="s">
        <v>336</v>
      </c>
      <c r="C22" s="143" t="s">
        <v>126</v>
      </c>
    </row>
    <row r="23" spans="2:14" x14ac:dyDescent="0.3">
      <c r="B23" s="135" t="s">
        <v>140</v>
      </c>
      <c r="C23" s="151">
        <f>VLOOKUP(C22,'CRF Lookup Table'!$B$3:$F$74,2,FALSE)</f>
        <v>107</v>
      </c>
    </row>
    <row r="24" spans="2:14" s="94" customFormat="1" x14ac:dyDescent="0.3">
      <c r="B24" s="144" t="s">
        <v>151</v>
      </c>
      <c r="C24" s="152" t="str">
        <f>VLOOKUP($C$22,'CRF Lookup Table'!$B$3:$F$74,5,FALSE)</f>
        <v>Intersection Related</v>
      </c>
      <c r="D24" s="145"/>
      <c r="M24" s="93"/>
      <c r="N24" s="93"/>
    </row>
    <row r="25" spans="2:14" x14ac:dyDescent="0.3">
      <c r="B25" s="135" t="s">
        <v>67</v>
      </c>
      <c r="C25" s="157">
        <f>VLOOKUP($C$22,'CRF Lookup Table'!$B$3:$F$74,3,FALSE)</f>
        <v>0.35</v>
      </c>
    </row>
    <row r="26" spans="2:14" x14ac:dyDescent="0.3">
      <c r="B26" s="135" t="s">
        <v>66</v>
      </c>
      <c r="C26" s="151">
        <f>VLOOKUP($C$22,'CRF Lookup Table'!$B$3:$F$74,4,FALSE)</f>
        <v>10</v>
      </c>
    </row>
    <row r="27" spans="2:14" ht="28.8" x14ac:dyDescent="0.3">
      <c r="B27" s="142" t="s">
        <v>337</v>
      </c>
      <c r="C27" s="143" t="s">
        <v>452</v>
      </c>
    </row>
    <row r="28" spans="2:14" x14ac:dyDescent="0.3">
      <c r="B28" s="135" t="s">
        <v>140</v>
      </c>
      <c r="C28" s="151">
        <f>VLOOKUP($C$27,'CRF Lookup Table'!$B$3:$F$74,2,FALSE)</f>
        <v>537</v>
      </c>
    </row>
    <row r="29" spans="2:14" s="94" customFormat="1" ht="28.8" x14ac:dyDescent="0.3">
      <c r="B29" s="144" t="s">
        <v>151</v>
      </c>
      <c r="C29" s="152" t="str">
        <f>VLOOKUP($C$27,'CRF Lookup Table'!$B$3:$F$74,5,FALSE)</f>
        <v>Non-Intersection related (Roadway Related)</v>
      </c>
      <c r="D29" s="145"/>
      <c r="F29" s="146"/>
      <c r="M29" s="93"/>
      <c r="N29" s="93"/>
    </row>
    <row r="30" spans="2:14" x14ac:dyDescent="0.3">
      <c r="B30" s="135" t="s">
        <v>67</v>
      </c>
      <c r="C30" s="157">
        <f>VLOOKUP($C$27,'CRF Lookup Table'!$B$3:$F$74,3,FALSE)</f>
        <v>0.4</v>
      </c>
    </row>
    <row r="31" spans="2:14" x14ac:dyDescent="0.3">
      <c r="B31" s="135" t="s">
        <v>66</v>
      </c>
      <c r="C31" s="151">
        <f>VLOOKUP($C$27,'CRF Lookup Table'!$B$3:$F$74,4,FALSE)</f>
        <v>20</v>
      </c>
    </row>
    <row r="32" spans="2:14" x14ac:dyDescent="0.3">
      <c r="B32" s="142" t="s">
        <v>387</v>
      </c>
      <c r="C32" s="143" t="s">
        <v>121</v>
      </c>
    </row>
    <row r="33" spans="2:14" x14ac:dyDescent="0.3">
      <c r="B33" s="135" t="s">
        <v>140</v>
      </c>
      <c r="C33" s="151">
        <f>VLOOKUP($C$32,'CRF Lookup Table'!B4:G75,2,FALSE)</f>
        <v>403</v>
      </c>
    </row>
    <row r="34" spans="2:14" s="94" customFormat="1" ht="25.8" x14ac:dyDescent="0.3">
      <c r="B34" s="144" t="s">
        <v>151</v>
      </c>
      <c r="C34" s="152" t="str">
        <f>VLOOKUP($C$32,'CRF Lookup Table'!B4:G75,5,FALSE)</f>
        <v>Pedestrian, Cyclist</v>
      </c>
      <c r="D34" s="145"/>
      <c r="F34" s="146"/>
      <c r="M34" s="93"/>
      <c r="N34" s="93"/>
    </row>
    <row r="35" spans="2:14" x14ac:dyDescent="0.3">
      <c r="B35" s="135" t="s">
        <v>67</v>
      </c>
      <c r="C35" s="157">
        <f>VLOOKUP($C$32,'CRF Lookup Table'!$B$3:$F$74,3,FALSE)</f>
        <v>0.1</v>
      </c>
    </row>
    <row r="36" spans="2:14" x14ac:dyDescent="0.3">
      <c r="B36" s="135" t="s">
        <v>66</v>
      </c>
      <c r="C36" s="151">
        <f>VLOOKUP($C$32,'CRF Lookup Table'!B4:G74,4,FALSE)</f>
        <v>2</v>
      </c>
    </row>
    <row r="39" spans="2:14" x14ac:dyDescent="0.3">
      <c r="B39" s="217" t="s">
        <v>58</v>
      </c>
      <c r="C39" s="218"/>
      <c r="D39" s="147"/>
    </row>
    <row r="40" spans="2:14" x14ac:dyDescent="0.3">
      <c r="B40" s="132" t="s">
        <v>510</v>
      </c>
      <c r="C40" s="150">
        <v>27211</v>
      </c>
      <c r="H40" s="139"/>
    </row>
    <row r="41" spans="2:14" x14ac:dyDescent="0.3">
      <c r="B41" s="132" t="s">
        <v>259</v>
      </c>
      <c r="C41" s="150">
        <v>31285</v>
      </c>
    </row>
    <row r="42" spans="2:14" x14ac:dyDescent="0.3">
      <c r="B42" s="135" t="s">
        <v>511</v>
      </c>
      <c r="C42" s="153">
        <f>SUM('Ped bike commuter analysis data'!$X:$X,'Ped bike commuter analysis data'!$Y:$Y)</f>
        <v>458</v>
      </c>
    </row>
    <row r="43" spans="2:14" ht="28.8" x14ac:dyDescent="0.3">
      <c r="B43" s="148" t="s">
        <v>378</v>
      </c>
      <c r="C43" s="153">
        <f>VLOOKUP(Year_Open_to_Traffic?,Calculations!I2:X36,3)</f>
        <v>514.46818805257965</v>
      </c>
    </row>
    <row r="44" spans="2:14" x14ac:dyDescent="0.3">
      <c r="H44" s="139"/>
    </row>
    <row r="46" spans="2:14" ht="18" x14ac:dyDescent="0.3">
      <c r="B46" s="130" t="s">
        <v>65</v>
      </c>
      <c r="C46" s="131"/>
      <c r="D46" s="131"/>
      <c r="E46" s="131"/>
      <c r="F46" s="131"/>
    </row>
    <row r="48" spans="2:14" x14ac:dyDescent="0.3">
      <c r="B48" s="214" t="s">
        <v>63</v>
      </c>
      <c r="C48" s="215"/>
    </row>
    <row r="49" spans="2:4" x14ac:dyDescent="0.3">
      <c r="B49" s="137" t="s">
        <v>220</v>
      </c>
      <c r="C49" s="71">
        <f>Calculations!X38</f>
        <v>117853.97678237587</v>
      </c>
      <c r="D49" s="149"/>
    </row>
  </sheetData>
  <sheetProtection algorithmName="SHA-512" hashValue="b+oJH7XeV+MVTWQBwwLZo7GB23sQOQgTkjpvcBYe5c4nC5ln9SS+/0GFuTQSkRsivXuDRaKKa0qbAp5juFNX4A==" saltValue="M9HowdJPFIlkk9L0orIQRQ==" spinCount="100000" sheet="1" objects="1" scenarios="1"/>
  <mergeCells count="6">
    <mergeCell ref="B48:C48"/>
    <mergeCell ref="N11:P11"/>
    <mergeCell ref="Q11:S11"/>
    <mergeCell ref="B4:C4"/>
    <mergeCell ref="B15:C15"/>
    <mergeCell ref="B39:C39"/>
  </mergeCells>
  <dataValidations count="2">
    <dataValidation type="list" allowBlank="1" showInputMessage="1" showErrorMessage="1" sqref="D6" xr:uid="{00000000-0002-0000-0300-000000000000}">
      <formula1>#REF!</formula1>
    </dataValidation>
    <dataValidation type="list" allowBlank="1" showInputMessage="1" showErrorMessage="1" sqref="D7" xr:uid="{00000000-0002-0000-0300-000001000000}">
      <formula1>#REF!</formula1>
    </dataValidation>
  </dataValidations>
  <pageMargins left="0.25" right="0.25" top="0.75" bottom="0.75" header="0.3" footer="0.3"/>
  <pageSetup scale="62"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3000000}">
          <x14:formula1>
            <xm:f>Calculations!$I$7:$I$36</xm:f>
          </x14:formula1>
          <xm:sqref>D20 D30 D25 D35</xm:sqref>
        </x14:dataValidation>
        <x14:dataValidation type="list" allowBlank="1" showInputMessage="1" showErrorMessage="1" xr:uid="{817E3541-ACE6-4163-B8E1-052C2E890092}">
          <x14:formula1>
            <xm:f>'Assumed Values'!$F$5:$F$12</xm:f>
          </x14:formula1>
          <xm:sqref>C6</xm:sqref>
        </x14:dataValidation>
        <x14:dataValidation type="list" allowBlank="1" showInputMessage="1" showErrorMessage="1" xr:uid="{AA3E3532-5492-4348-AB32-360AEEEF2A02}">
          <x14:formula1>
            <xm:f>'CRF Lookup Table'!$B$79:$B$83</xm:f>
          </x14:formula1>
          <xm:sqref>C32</xm:sqref>
        </x14:dataValidation>
        <x14:dataValidation type="list" allowBlank="1" showInputMessage="1" showErrorMessage="1" xr:uid="{55DC462E-18DE-4173-BBED-AF9843571521}">
          <x14:formula1>
            <xm:f>'Assumed Values'!$G$5:$G$6</xm:f>
          </x14:formula1>
          <xm:sqref>C7</xm:sqref>
        </x14:dataValidation>
        <x14:dataValidation type="list" allowBlank="1" showInputMessage="1" showErrorMessage="1" xr:uid="{00000000-0002-0000-0300-000002000000}">
          <x14:formula1>
            <xm:f>'CRF Lookup Table'!$B$4:$B$74</xm:f>
          </x14:formula1>
          <xm:sqref>C27 C17 C22</xm:sqref>
        </x14:dataValidation>
        <x14:dataValidation type="list" allowBlank="1" showInputMessage="1" showErrorMessage="1" xr:uid="{E82BF87A-3ACB-499E-B14A-B2D01385F60A}">
          <x14:formula1>
            <xm:f>Calculations!$I$7:$I$139</xm:f>
          </x14:formula1>
          <xm:sqref>C16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7C7D1-951F-4AA1-AD61-E81EAFF03E0B}">
  <sheetPr>
    <tabColor theme="8"/>
  </sheetPr>
  <dimension ref="A1:V46"/>
  <sheetViews>
    <sheetView zoomScale="55" zoomScaleNormal="55" workbookViewId="0">
      <selection activeCell="K15" sqref="K15"/>
    </sheetView>
  </sheetViews>
  <sheetFormatPr defaultRowHeight="14.4" x14ac:dyDescent="0.3"/>
  <cols>
    <col min="1" max="1" width="8.88671875" style="82"/>
    <col min="2" max="2" width="27.6640625" style="82" bestFit="1" customWidth="1"/>
    <col min="3" max="3" width="15" style="82" customWidth="1"/>
    <col min="4" max="4" width="17.109375" style="82" customWidth="1"/>
    <col min="5" max="5" width="16.44140625" style="82" bestFit="1" customWidth="1"/>
    <col min="6" max="6" width="21.5546875" style="82" customWidth="1"/>
    <col min="7" max="7" width="2.88671875" style="82" customWidth="1"/>
    <col min="8" max="8" width="27.5546875" style="82" customWidth="1"/>
    <col min="9" max="9" width="14.109375" style="82" customWidth="1"/>
    <col min="10" max="10" width="15.109375" style="82" bestFit="1" customWidth="1"/>
    <col min="11" max="11" width="16.44140625" style="82" bestFit="1" customWidth="1"/>
    <col min="12" max="12" width="23.109375" style="82" customWidth="1"/>
    <col min="13" max="13" width="9.6640625" style="82" customWidth="1"/>
    <col min="14" max="14" width="30.109375" style="82" customWidth="1"/>
    <col min="15" max="15" width="12" style="82" customWidth="1"/>
    <col min="16" max="17" width="15.33203125" style="82" customWidth="1"/>
    <col min="18" max="18" width="26.88671875" style="82" customWidth="1"/>
    <col min="19" max="19" width="5.109375" style="82" customWidth="1"/>
    <col min="20" max="20" width="4.88671875" style="82" customWidth="1"/>
    <col min="21" max="21" width="23.5546875" style="82" bestFit="1" customWidth="1"/>
    <col min="22" max="22" width="19.44140625" style="82" bestFit="1" customWidth="1"/>
    <col min="23" max="16384" width="8.88671875" style="82"/>
  </cols>
  <sheetData>
    <row r="1" spans="1:22" ht="33.75" customHeight="1" x14ac:dyDescent="0.3">
      <c r="A1" s="77"/>
      <c r="B1" s="99"/>
      <c r="C1" s="223" t="s">
        <v>226</v>
      </c>
      <c r="D1" s="223"/>
      <c r="E1" s="92"/>
      <c r="F1" s="224" t="s">
        <v>224</v>
      </c>
      <c r="G1" s="224"/>
      <c r="H1" s="224"/>
      <c r="I1" s="77"/>
      <c r="J1" s="77"/>
      <c r="K1" s="77"/>
      <c r="L1" s="77"/>
      <c r="M1" s="77"/>
      <c r="N1" s="77"/>
      <c r="O1" s="77"/>
      <c r="P1" s="77"/>
      <c r="Q1" s="77"/>
      <c r="R1" s="77"/>
      <c r="S1" s="77"/>
      <c r="T1" s="77"/>
      <c r="U1" s="77"/>
      <c r="V1" s="77"/>
    </row>
    <row r="2" spans="1:22" x14ac:dyDescent="0.3">
      <c r="A2" s="77"/>
      <c r="B2" s="77"/>
      <c r="C2" s="77"/>
      <c r="D2" s="77"/>
      <c r="E2" s="77"/>
      <c r="F2" s="77"/>
      <c r="G2" s="77"/>
      <c r="H2" s="77"/>
      <c r="I2" s="77"/>
      <c r="J2" s="77"/>
      <c r="K2" s="77"/>
      <c r="L2" s="77"/>
      <c r="M2" s="77"/>
      <c r="N2" s="77"/>
      <c r="O2" s="77"/>
      <c r="P2" s="77"/>
      <c r="Q2" s="77"/>
      <c r="R2" s="77"/>
      <c r="S2" s="77"/>
      <c r="T2" s="77"/>
      <c r="U2" s="77"/>
      <c r="V2" s="77"/>
    </row>
    <row r="3" spans="1:22" x14ac:dyDescent="0.3">
      <c r="A3" s="77"/>
      <c r="B3" s="219" t="s">
        <v>223</v>
      </c>
      <c r="C3" s="220"/>
      <c r="D3" s="220"/>
      <c r="E3" s="220"/>
      <c r="F3" s="221"/>
      <c r="G3" s="77"/>
      <c r="H3" s="219" t="s">
        <v>196</v>
      </c>
      <c r="I3" s="220"/>
      <c r="J3" s="220"/>
      <c r="K3" s="220"/>
      <c r="L3" s="221"/>
      <c r="M3" s="77"/>
      <c r="N3" s="219" t="s">
        <v>240</v>
      </c>
      <c r="O3" s="220"/>
      <c r="P3" s="220"/>
      <c r="Q3" s="220"/>
      <c r="R3" s="221"/>
      <c r="S3" s="77"/>
      <c r="T3" s="77"/>
      <c r="U3" s="77"/>
      <c r="V3" s="77"/>
    </row>
    <row r="4" spans="1:22" s="95" customFormat="1" ht="57.6" x14ac:dyDescent="0.3">
      <c r="A4" s="100"/>
      <c r="B4" s="101" t="s">
        <v>512</v>
      </c>
      <c r="C4" s="102" t="s">
        <v>222</v>
      </c>
      <c r="D4" s="101" t="s">
        <v>206</v>
      </c>
      <c r="E4" s="101" t="s">
        <v>507</v>
      </c>
      <c r="F4" s="101" t="s">
        <v>228</v>
      </c>
      <c r="G4" s="100"/>
      <c r="H4" s="101" t="s">
        <v>512</v>
      </c>
      <c r="I4" s="102" t="s">
        <v>221</v>
      </c>
      <c r="J4" s="101" t="s">
        <v>206</v>
      </c>
      <c r="K4" s="101" t="s">
        <v>507</v>
      </c>
      <c r="L4" s="101" t="s">
        <v>228</v>
      </c>
      <c r="M4" s="100"/>
      <c r="N4" s="101" t="s">
        <v>512</v>
      </c>
      <c r="O4" s="102" t="s">
        <v>241</v>
      </c>
      <c r="P4" s="101" t="s">
        <v>206</v>
      </c>
      <c r="Q4" s="101" t="s">
        <v>507</v>
      </c>
      <c r="R4" s="101" t="s">
        <v>229</v>
      </c>
      <c r="S4" s="100"/>
      <c r="T4" s="100"/>
      <c r="U4" s="101" t="s">
        <v>334</v>
      </c>
      <c r="V4" s="101" t="s">
        <v>333</v>
      </c>
    </row>
    <row r="5" spans="1:22" x14ac:dyDescent="0.3">
      <c r="A5" s="77"/>
      <c r="B5" s="99" t="s">
        <v>148</v>
      </c>
      <c r="C5" s="68">
        <f>(SUMIFS('Raw Crash data'!Z:Z,'Raw Crash data'!Q:Q,$U$5)+SUMIFS('Raw Crash data'!Z:Z,'Raw Crash data'!Q:Q,$U$6))</f>
        <v>0</v>
      </c>
      <c r="D5" s="72">
        <f>C5/5</f>
        <v>0</v>
      </c>
      <c r="E5" s="73">
        <f>(100000000*$C5)/(365*5*'Inputs &amp; Outputs'!$C$40*'Inputs &amp; Outputs'!$C$11)</f>
        <v>0</v>
      </c>
      <c r="F5" s="73">
        <f>(E5*('Inputs &amp; Outputs'!$C$41*'Inputs &amp; Outputs'!$C$11*365))/100000000</f>
        <v>0</v>
      </c>
      <c r="G5" s="77"/>
      <c r="H5" s="99" t="s">
        <v>148</v>
      </c>
      <c r="I5" s="68">
        <f>SUMIFS('Raw Crash data'!Z:Z,'Raw Crash data'!Q:Q,$V$5)+SUMIFS('Raw Crash data'!Z:Z,'Raw Crash data'!Q:Q,$V$6)</f>
        <v>10</v>
      </c>
      <c r="J5" s="72">
        <f>I5/5</f>
        <v>2</v>
      </c>
      <c r="K5" s="73">
        <f>(100000000*$I5)/(365*5*'Inputs &amp; Outputs'!$C$40*'Inputs &amp; Outputs'!$C$11)</f>
        <v>10.068450359770903</v>
      </c>
      <c r="L5" s="73">
        <f>($K5*(('Inputs &amp; Outputs'!$C$41*'Inputs &amp; Outputs'!$C$11*365)/100000000))</f>
        <v>2.2994377273896585</v>
      </c>
      <c r="M5" s="77"/>
      <c r="N5" s="99" t="s">
        <v>148</v>
      </c>
      <c r="O5" s="68">
        <f>C5+I5</f>
        <v>10</v>
      </c>
      <c r="P5" s="72">
        <f>O5/5</f>
        <v>2</v>
      </c>
      <c r="Q5" s="73">
        <f>(100000000*$O5)/(365*5*'Inputs &amp; Outputs'!$C$40*'Inputs &amp; Outputs'!$C$11)</f>
        <v>10.068450359770903</v>
      </c>
      <c r="R5" s="73">
        <f>($Q5*(('Inputs &amp; Outputs'!$C$41*'Inputs &amp; Outputs'!$C$11*365)/100000000))</f>
        <v>2.2994377273896585</v>
      </c>
      <c r="S5" s="77"/>
      <c r="T5" s="77"/>
      <c r="U5" s="69" t="s">
        <v>332</v>
      </c>
      <c r="V5" s="69" t="s">
        <v>331</v>
      </c>
    </row>
    <row r="6" spans="1:22" x14ac:dyDescent="0.3">
      <c r="A6" s="77"/>
      <c r="B6" s="99" t="s">
        <v>197</v>
      </c>
      <c r="C6" s="68">
        <f>(SUMIFS('Raw Crash data'!AA:AA,'Raw Crash data'!Q:Q,$U$5)+SUMIFS('Raw Crash data'!AA:AA,'Raw Crash data'!Q:Q,$U$6))</f>
        <v>4</v>
      </c>
      <c r="D6" s="72">
        <f>C6/5</f>
        <v>0.8</v>
      </c>
      <c r="E6" s="73">
        <f>(100000000*$C6)/(365*5*'Inputs &amp; Outputs'!$C$40*'Inputs &amp; Outputs'!$C$11)</f>
        <v>4.0273801439083607</v>
      </c>
      <c r="F6" s="73">
        <f>(E6*('Inputs &amp; Outputs'!$C$41*'Inputs &amp; Outputs'!$C$11*365))/100000000</f>
        <v>0.91977509095586341</v>
      </c>
      <c r="G6" s="77"/>
      <c r="H6" s="99" t="s">
        <v>197</v>
      </c>
      <c r="I6" s="68">
        <f>(SUMIFS('Raw Crash data'!AA:AA,'Raw Crash data'!Q:Q,$V$5)+SUMIFS('Raw Crash data'!AA:AA,'Raw Crash data'!Q:Q,$V$8))</f>
        <v>1</v>
      </c>
      <c r="J6" s="72">
        <f>I6/5</f>
        <v>0.2</v>
      </c>
      <c r="K6" s="73">
        <f>(100000000*$I6)/(365*5*'Inputs &amp; Outputs'!$C$40*'Inputs &amp; Outputs'!$C$11)</f>
        <v>1.0068450359770902</v>
      </c>
      <c r="L6" s="73">
        <f>($K6*(('Inputs &amp; Outputs'!$C$41*'Inputs &amp; Outputs'!$C$11*365)/100000000))</f>
        <v>0.22994377273896582</v>
      </c>
      <c r="M6" s="77"/>
      <c r="N6" s="99" t="s">
        <v>197</v>
      </c>
      <c r="O6" s="68">
        <f t="shared" ref="O6:O30" si="0">C6+I6</f>
        <v>5</v>
      </c>
      <c r="P6" s="72">
        <f>O6/5</f>
        <v>1</v>
      </c>
      <c r="Q6" s="73">
        <f>(100000000*$O6)/(365*5*'Inputs &amp; Outputs'!$C$40*'Inputs &amp; Outputs'!$C$11)</f>
        <v>5.0342251798854516</v>
      </c>
      <c r="R6" s="73">
        <f>($Q6*(('Inputs &amp; Outputs'!$C$41*'Inputs &amp; Outputs'!$C$11*365)/100000000))</f>
        <v>1.1497188636948292</v>
      </c>
      <c r="S6" s="77"/>
      <c r="T6" s="77"/>
      <c r="U6" s="69" t="s">
        <v>325</v>
      </c>
      <c r="V6" s="69" t="s">
        <v>278</v>
      </c>
    </row>
    <row r="7" spans="1:22" x14ac:dyDescent="0.3">
      <c r="A7" s="77"/>
      <c r="B7" s="99" t="s">
        <v>198</v>
      </c>
      <c r="C7" s="68">
        <f>(SUMIFS('Raw Crash data'!AB:AB,'Raw Crash data'!Q:Q,$U$5)+SUMIFS('Raw Crash data'!AB:AB,'Raw Crash data'!Q:Q,$U$6))</f>
        <v>14</v>
      </c>
      <c r="D7" s="72">
        <f t="shared" ref="D7:D8" si="1">C7/5</f>
        <v>2.8</v>
      </c>
      <c r="E7" s="73">
        <f>(100000000*$C7)/(365*5*'Inputs &amp; Outputs'!$C$40*'Inputs &amp; Outputs'!$C$11)</f>
        <v>14.095830503679263</v>
      </c>
      <c r="F7" s="73">
        <f>(E7*('Inputs &amp; Outputs'!$C$41*'Inputs &amp; Outputs'!$C$11*365))/100000000</f>
        <v>3.2192128183455218</v>
      </c>
      <c r="G7" s="77"/>
      <c r="H7" s="99" t="s">
        <v>198</v>
      </c>
      <c r="I7" s="68">
        <f>(SUMIFS('Raw Crash data'!AB:AB,'Raw Crash data'!Q:Q,$V$5)+SUMIFS('Raw Crash data'!AB:AB,'Raw Crash data'!Q:Q,$V$6))</f>
        <v>12</v>
      </c>
      <c r="J7" s="72">
        <f t="shared" ref="J7:J8" si="2">I7/5</f>
        <v>2.4</v>
      </c>
      <c r="K7" s="73">
        <f>(100000000*$I7)/(365*5*'Inputs &amp; Outputs'!$C$40*'Inputs &amp; Outputs'!$C$11)</f>
        <v>12.082140431725083</v>
      </c>
      <c r="L7" s="73">
        <f>($K7*(('Inputs &amp; Outputs'!$C$41*'Inputs &amp; Outputs'!$C$11*365)/100000000))</f>
        <v>2.7593252728675903</v>
      </c>
      <c r="M7" s="77"/>
      <c r="N7" s="99" t="s">
        <v>198</v>
      </c>
      <c r="O7" s="68">
        <f t="shared" si="0"/>
        <v>26</v>
      </c>
      <c r="P7" s="72">
        <f t="shared" ref="P7:P8" si="3">O7/5</f>
        <v>5.2</v>
      </c>
      <c r="Q7" s="73">
        <f>(100000000*$O7)/(365*5*'Inputs &amp; Outputs'!$C$40*'Inputs &amp; Outputs'!$C$11)</f>
        <v>26.177970935404346</v>
      </c>
      <c r="R7" s="73">
        <f>($Q7*(('Inputs &amp; Outputs'!$C$41*'Inputs &amp; Outputs'!$C$11*365)/100000000))</f>
        <v>5.9785380912131121</v>
      </c>
      <c r="S7" s="77"/>
      <c r="T7" s="77"/>
      <c r="U7" s="77"/>
      <c r="V7" s="77"/>
    </row>
    <row r="8" spans="1:22" x14ac:dyDescent="0.3">
      <c r="A8" s="77"/>
      <c r="B8" s="99" t="s">
        <v>199</v>
      </c>
      <c r="C8" s="68">
        <f>(SUMIFS('Raw Crash data'!AC:AC,'Raw Crash data'!Q:Q,$U$5)+SUMIFS('Raw Crash data'!AC:AC,'Raw Crash data'!Q:Q,$U$6))</f>
        <v>31</v>
      </c>
      <c r="D8" s="72">
        <f t="shared" si="1"/>
        <v>6.2</v>
      </c>
      <c r="E8" s="73">
        <f>(100000000*$C8)/(365*5*'Inputs &amp; Outputs'!$C$40*'Inputs &amp; Outputs'!$C$11)</f>
        <v>31.212196115289796</v>
      </c>
      <c r="F8" s="73">
        <f>(E8*('Inputs &amp; Outputs'!$C$41*'Inputs &amp; Outputs'!$C$11*365))/100000000</f>
        <v>7.1282569549079415</v>
      </c>
      <c r="G8" s="77"/>
      <c r="H8" s="99" t="s">
        <v>199</v>
      </c>
      <c r="I8" s="68">
        <f>(SUMIFS('Raw Crash data'!AC:AC,'Raw Crash data'!Q:Q,$V$5)+SUMIFS('Raw Crash data'!AC:AC,'Raw Crash data'!Q:Q,$V$6))</f>
        <v>41</v>
      </c>
      <c r="J8" s="72">
        <f t="shared" si="2"/>
        <v>8.1999999999999993</v>
      </c>
      <c r="K8" s="73">
        <f>(100000000*$I8)/(365*5*'Inputs &amp; Outputs'!$C$40*'Inputs &amp; Outputs'!$C$11)</f>
        <v>41.280646475060699</v>
      </c>
      <c r="L8" s="73">
        <f>($K8*(('Inputs &amp; Outputs'!$C$41*'Inputs &amp; Outputs'!$C$11*365)/100000000))</f>
        <v>9.4276946822975987</v>
      </c>
      <c r="M8" s="77"/>
      <c r="N8" s="99" t="s">
        <v>199</v>
      </c>
      <c r="O8" s="68">
        <f>C8+I8</f>
        <v>72</v>
      </c>
      <c r="P8" s="72">
        <f t="shared" si="3"/>
        <v>14.4</v>
      </c>
      <c r="Q8" s="73">
        <f>(100000000*$O8)/(365*5*'Inputs &amp; Outputs'!$C$40*'Inputs &amp; Outputs'!$C$11)</f>
        <v>72.492842590350492</v>
      </c>
      <c r="R8" s="73">
        <f>($Q8*(('Inputs &amp; Outputs'!$C$41*'Inputs &amp; Outputs'!$C$11*365)/100000000))</f>
        <v>16.555951637205538</v>
      </c>
      <c r="S8" s="77"/>
      <c r="T8" s="77"/>
      <c r="U8" s="77"/>
      <c r="V8" s="77"/>
    </row>
    <row r="9" spans="1:22" x14ac:dyDescent="0.3">
      <c r="A9" s="77"/>
      <c r="B9" s="99"/>
      <c r="C9" s="68"/>
      <c r="D9" s="72"/>
      <c r="E9" s="73"/>
      <c r="F9" s="73"/>
      <c r="G9" s="77"/>
      <c r="H9" s="99"/>
      <c r="I9" s="68"/>
      <c r="J9" s="72"/>
      <c r="K9" s="73"/>
      <c r="L9" s="73"/>
      <c r="M9" s="77"/>
      <c r="N9" s="99"/>
      <c r="O9" s="68"/>
      <c r="P9" s="72"/>
      <c r="Q9" s="73"/>
      <c r="R9" s="73"/>
      <c r="S9" s="77"/>
      <c r="T9" s="77"/>
      <c r="U9" s="77"/>
      <c r="V9" s="77"/>
    </row>
    <row r="10" spans="1:22" x14ac:dyDescent="0.3">
      <c r="A10" s="77"/>
      <c r="B10" s="77"/>
      <c r="C10" s="77"/>
      <c r="D10" s="77"/>
      <c r="E10" s="78"/>
      <c r="F10" s="78"/>
      <c r="G10" s="77"/>
      <c r="H10" s="77"/>
      <c r="I10" s="77"/>
      <c r="J10" s="77"/>
      <c r="K10" s="78"/>
      <c r="L10" s="78"/>
      <c r="M10" s="77"/>
      <c r="N10" s="77"/>
      <c r="O10" s="77"/>
      <c r="P10" s="77"/>
      <c r="Q10" s="77"/>
      <c r="R10" s="77"/>
      <c r="S10" s="77"/>
      <c r="T10" s="77"/>
      <c r="U10" s="77"/>
      <c r="V10" s="77"/>
    </row>
    <row r="11" spans="1:22" s="95" customFormat="1" ht="15" customHeight="1" x14ac:dyDescent="0.3">
      <c r="A11" s="100"/>
      <c r="B11" s="222" t="s">
        <v>230</v>
      </c>
      <c r="C11" s="222"/>
      <c r="D11" s="222"/>
      <c r="E11" s="222"/>
      <c r="F11" s="222"/>
      <c r="G11" s="100"/>
      <c r="H11" s="103"/>
      <c r="I11" s="81"/>
      <c r="J11" s="81"/>
      <c r="K11" s="104"/>
      <c r="L11" s="104"/>
      <c r="M11" s="100"/>
      <c r="N11" s="100"/>
      <c r="O11" s="100"/>
      <c r="P11" s="100"/>
      <c r="Q11" s="100"/>
      <c r="R11" s="100"/>
      <c r="S11" s="100"/>
      <c r="T11" s="100"/>
      <c r="U11" s="100"/>
      <c r="V11" s="100"/>
    </row>
    <row r="12" spans="1:22" ht="28.8" x14ac:dyDescent="0.3">
      <c r="A12" s="77"/>
      <c r="B12" s="101"/>
      <c r="C12" s="101" t="s">
        <v>146</v>
      </c>
      <c r="D12" s="101" t="s">
        <v>207</v>
      </c>
      <c r="E12" s="101" t="s">
        <v>208</v>
      </c>
      <c r="F12" s="101" t="s">
        <v>209</v>
      </c>
      <c r="G12" s="77"/>
      <c r="H12" s="105"/>
      <c r="I12" s="106"/>
      <c r="J12" s="107"/>
      <c r="K12" s="108"/>
      <c r="L12" s="104"/>
      <c r="M12" s="77"/>
      <c r="N12" s="77"/>
      <c r="O12" s="77"/>
      <c r="P12" s="77"/>
      <c r="Q12" s="77"/>
      <c r="R12" s="77"/>
      <c r="S12" s="77"/>
      <c r="T12" s="77"/>
      <c r="U12" s="77"/>
      <c r="V12" s="77"/>
    </row>
    <row r="13" spans="1:22" ht="28.8" x14ac:dyDescent="0.3">
      <c r="A13" s="77"/>
      <c r="B13" s="101" t="s">
        <v>231</v>
      </c>
      <c r="C13" s="74">
        <f>$F$5</f>
        <v>0</v>
      </c>
      <c r="D13" s="74">
        <f>$F$6</f>
        <v>0.91977509095586341</v>
      </c>
      <c r="E13" s="74">
        <f>$F$7</f>
        <v>3.2192128183455218</v>
      </c>
      <c r="F13" s="74">
        <f>$F$8</f>
        <v>7.1282569549079415</v>
      </c>
      <c r="G13" s="77"/>
      <c r="H13" s="109"/>
      <c r="I13" s="81"/>
      <c r="J13" s="81"/>
      <c r="K13" s="81"/>
      <c r="L13" s="81"/>
      <c r="M13" s="77"/>
      <c r="N13" s="77"/>
      <c r="O13" s="77"/>
      <c r="P13" s="77"/>
      <c r="Q13" s="77"/>
      <c r="R13" s="77"/>
      <c r="S13" s="77"/>
      <c r="T13" s="77"/>
      <c r="U13" s="77"/>
      <c r="V13" s="77"/>
    </row>
    <row r="14" spans="1:22" x14ac:dyDescent="0.3">
      <c r="A14" s="77"/>
      <c r="B14" s="101" t="s">
        <v>155</v>
      </c>
      <c r="C14" s="74">
        <f>$L$5</f>
        <v>2.2994377273896585</v>
      </c>
      <c r="D14" s="74">
        <f>$L$6</f>
        <v>0.22994377273896582</v>
      </c>
      <c r="E14" s="74">
        <f>$L$7</f>
        <v>2.7593252728675903</v>
      </c>
      <c r="F14" s="74">
        <f>$L$8</f>
        <v>9.4276946822975987</v>
      </c>
      <c r="G14" s="77"/>
      <c r="H14" s="81"/>
      <c r="I14" s="81"/>
      <c r="J14" s="81"/>
      <c r="K14" s="81"/>
      <c r="L14" s="81"/>
      <c r="M14" s="77"/>
      <c r="N14" s="77"/>
      <c r="O14" s="77"/>
      <c r="P14" s="77"/>
      <c r="Q14" s="77"/>
      <c r="R14" s="77"/>
      <c r="S14" s="77"/>
      <c r="T14" s="77"/>
      <c r="U14" s="77"/>
      <c r="V14" s="77"/>
    </row>
    <row r="15" spans="1:22" x14ac:dyDescent="0.3">
      <c r="A15" s="77"/>
      <c r="B15" s="101" t="s">
        <v>449</v>
      </c>
      <c r="C15" s="74">
        <v>0</v>
      </c>
      <c r="D15" s="74">
        <v>0</v>
      </c>
      <c r="E15" s="74">
        <v>0</v>
      </c>
      <c r="F15" s="74">
        <v>0</v>
      </c>
      <c r="G15" s="77"/>
      <c r="H15" s="81"/>
      <c r="I15" s="81"/>
      <c r="J15" s="81"/>
      <c r="K15" s="81"/>
      <c r="L15" s="81"/>
      <c r="M15" s="77"/>
      <c r="N15" s="77"/>
      <c r="O15" s="77"/>
      <c r="P15" s="77"/>
      <c r="Q15" s="77"/>
      <c r="R15" s="77"/>
      <c r="S15" s="77"/>
      <c r="T15" s="77"/>
      <c r="U15" s="77"/>
      <c r="V15" s="77"/>
    </row>
    <row r="16" spans="1:22" x14ac:dyDescent="0.3">
      <c r="A16" s="77"/>
      <c r="B16" s="101" t="s">
        <v>353</v>
      </c>
      <c r="C16" s="74">
        <f>C13+C14</f>
        <v>2.2994377273896585</v>
      </c>
      <c r="D16" s="74">
        <f t="shared" ref="D16:F16" si="4">D13+D14</f>
        <v>1.1497188636948292</v>
      </c>
      <c r="E16" s="74">
        <f t="shared" si="4"/>
        <v>5.9785380912131121</v>
      </c>
      <c r="F16" s="74">
        <f t="shared" si="4"/>
        <v>16.555951637205538</v>
      </c>
      <c r="G16" s="77"/>
      <c r="H16" s="81"/>
      <c r="I16" s="81"/>
      <c r="J16" s="81"/>
      <c r="K16" s="81"/>
      <c r="L16" s="81"/>
      <c r="M16" s="77"/>
      <c r="N16" s="77"/>
      <c r="O16" s="77"/>
      <c r="P16" s="77"/>
      <c r="Q16" s="77"/>
      <c r="R16" s="77"/>
      <c r="S16" s="77"/>
      <c r="T16" s="77"/>
      <c r="U16" s="77"/>
      <c r="V16" s="77"/>
    </row>
    <row r="17" spans="1:22" s="96" customFormat="1" x14ac:dyDescent="0.3">
      <c r="A17" s="110"/>
      <c r="B17" s="111"/>
      <c r="C17" s="75"/>
      <c r="D17" s="75"/>
      <c r="E17" s="75"/>
      <c r="F17" s="75"/>
      <c r="G17" s="110"/>
      <c r="H17" s="112"/>
      <c r="I17" s="112"/>
      <c r="J17" s="112"/>
      <c r="K17" s="112"/>
      <c r="L17" s="112"/>
      <c r="M17" s="110"/>
      <c r="N17" s="110"/>
      <c r="O17" s="110"/>
      <c r="P17" s="110"/>
      <c r="Q17" s="110"/>
      <c r="R17" s="110"/>
      <c r="S17" s="110"/>
      <c r="T17" s="110"/>
      <c r="U17" s="110"/>
      <c r="V17" s="110"/>
    </row>
    <row r="18" spans="1:22" s="95" customFormat="1" ht="100.8" x14ac:dyDescent="0.3">
      <c r="A18" s="100"/>
      <c r="B18" s="101" t="s">
        <v>512</v>
      </c>
      <c r="C18" s="102" t="s">
        <v>222</v>
      </c>
      <c r="D18" s="101" t="s">
        <v>206</v>
      </c>
      <c r="E18" s="101" t="s">
        <v>388</v>
      </c>
      <c r="F18" s="101" t="s">
        <v>228</v>
      </c>
      <c r="G18" s="100"/>
      <c r="H18" s="101" t="s">
        <v>512</v>
      </c>
      <c r="I18" s="102" t="s">
        <v>221</v>
      </c>
      <c r="J18" s="101" t="s">
        <v>206</v>
      </c>
      <c r="K18" s="101" t="s">
        <v>508</v>
      </c>
      <c r="L18" s="101" t="s">
        <v>229</v>
      </c>
      <c r="M18" s="100"/>
      <c r="N18" s="101" t="s">
        <v>512</v>
      </c>
      <c r="O18" s="102" t="s">
        <v>241</v>
      </c>
      <c r="P18" s="101" t="s">
        <v>206</v>
      </c>
      <c r="Q18" s="101" t="s">
        <v>508</v>
      </c>
      <c r="R18" s="101" t="s">
        <v>229</v>
      </c>
      <c r="S18" s="100"/>
      <c r="T18" s="100"/>
      <c r="U18" s="101" t="s">
        <v>334</v>
      </c>
      <c r="V18" s="101" t="s">
        <v>333</v>
      </c>
    </row>
    <row r="19" spans="1:22" x14ac:dyDescent="0.3">
      <c r="A19" s="77"/>
      <c r="B19" s="99" t="s">
        <v>149</v>
      </c>
      <c r="C19" s="68">
        <f>(SUMIFS('Raw Crash data'!AG:AG,'Raw Crash data'!Q:Q,$U$5)+SUMIFS('Raw Crash data'!AG:AG,'Raw Crash data'!Q:Q,$U$6))</f>
        <v>1</v>
      </c>
      <c r="D19" s="72" t="s">
        <v>393</v>
      </c>
      <c r="E19" s="72" t="s">
        <v>393</v>
      </c>
      <c r="F19" s="72" t="s">
        <v>393</v>
      </c>
      <c r="G19" s="77"/>
      <c r="H19" s="99" t="s">
        <v>149</v>
      </c>
      <c r="I19" s="68">
        <f>(SUMIFS('Raw Crash data'!AG:AG,'Raw Crash data'!Q:Q,$V$5)+SUMIFS('Raw Crash data'!AG:AG,'Raw Crash data'!Q:Q,$V$6))</f>
        <v>0</v>
      </c>
      <c r="J19" s="72" t="s">
        <v>393</v>
      </c>
      <c r="K19" s="72" t="s">
        <v>393</v>
      </c>
      <c r="L19" s="72" t="s">
        <v>393</v>
      </c>
      <c r="M19" s="77"/>
      <c r="N19" s="99" t="s">
        <v>149</v>
      </c>
      <c r="O19" s="68">
        <f t="shared" si="0"/>
        <v>1</v>
      </c>
      <c r="P19" s="72" t="s">
        <v>393</v>
      </c>
      <c r="Q19" s="72" t="s">
        <v>393</v>
      </c>
      <c r="R19" s="72" t="s">
        <v>393</v>
      </c>
      <c r="S19" s="77"/>
      <c r="T19" s="77"/>
      <c r="U19" s="77"/>
      <c r="V19" s="77"/>
    </row>
    <row r="20" spans="1:22" x14ac:dyDescent="0.3">
      <c r="A20" s="77"/>
      <c r="B20" s="99" t="s">
        <v>201</v>
      </c>
      <c r="C20" s="68">
        <f>(SUMIFS('Raw Crash data'!AH:AH,'Raw Crash data'!Q:Q,$U$5)+SUMIFS('Raw Crash data'!AH:AH,'Raw Crash data'!Q:Q,$U$6))</f>
        <v>0</v>
      </c>
      <c r="D20" s="72" t="s">
        <v>393</v>
      </c>
      <c r="E20" s="72" t="s">
        <v>393</v>
      </c>
      <c r="F20" s="72" t="s">
        <v>393</v>
      </c>
      <c r="G20" s="77"/>
      <c r="H20" s="99" t="s">
        <v>201</v>
      </c>
      <c r="I20" s="68">
        <f>(SUMIFS('Raw Crash data'!AH:AH,'Raw Crash data'!Q:Q,$V$5)+SUMIFS('Raw Crash data'!AH:AH,'Raw Crash data'!Q:Q,$V$6))</f>
        <v>1</v>
      </c>
      <c r="J20" s="72" t="s">
        <v>393</v>
      </c>
      <c r="K20" s="72" t="s">
        <v>393</v>
      </c>
      <c r="L20" s="72" t="s">
        <v>393</v>
      </c>
      <c r="M20" s="77"/>
      <c r="N20" s="99" t="s">
        <v>201</v>
      </c>
      <c r="O20" s="68">
        <f t="shared" si="0"/>
        <v>1</v>
      </c>
      <c r="P20" s="72" t="s">
        <v>393</v>
      </c>
      <c r="Q20" s="72" t="s">
        <v>393</v>
      </c>
      <c r="R20" s="72" t="s">
        <v>393</v>
      </c>
      <c r="S20" s="77"/>
      <c r="T20" s="77"/>
      <c r="U20" s="77"/>
      <c r="V20" s="77"/>
    </row>
    <row r="21" spans="1:22" x14ac:dyDescent="0.3">
      <c r="A21" s="77"/>
      <c r="B21" s="99" t="s">
        <v>200</v>
      </c>
      <c r="C21" s="68">
        <f>(SUMIFS('Raw Crash data'!AI:AI,'Raw Crash data'!Q:Q,$U$5)+SUMIFS('Raw Crash data'!AI:AI,'Raw Crash data'!Q:Q,$U$6))</f>
        <v>1</v>
      </c>
      <c r="D21" s="72" t="s">
        <v>393</v>
      </c>
      <c r="E21" s="72" t="s">
        <v>393</v>
      </c>
      <c r="F21" s="72" t="s">
        <v>393</v>
      </c>
      <c r="G21" s="77"/>
      <c r="H21" s="99" t="s">
        <v>200</v>
      </c>
      <c r="I21" s="68">
        <f>(SUMIFS('Raw Crash data'!AI:AI,'Raw Crash data'!Q:Q,$V$5)+SUMIFS('Raw Crash data'!AI:AI,'Raw Crash data'!Q:Q,$V$6))</f>
        <v>1</v>
      </c>
      <c r="J21" s="72" t="s">
        <v>393</v>
      </c>
      <c r="K21" s="72" t="s">
        <v>393</v>
      </c>
      <c r="L21" s="72" t="s">
        <v>393</v>
      </c>
      <c r="M21" s="77"/>
      <c r="N21" s="99" t="s">
        <v>200</v>
      </c>
      <c r="O21" s="68">
        <f t="shared" si="0"/>
        <v>2</v>
      </c>
      <c r="P21" s="72" t="s">
        <v>393</v>
      </c>
      <c r="Q21" s="72" t="s">
        <v>393</v>
      </c>
      <c r="R21" s="72" t="s">
        <v>393</v>
      </c>
      <c r="S21" s="77"/>
      <c r="T21" s="77"/>
      <c r="U21" s="77"/>
      <c r="V21" s="77"/>
    </row>
    <row r="22" spans="1:22" x14ac:dyDescent="0.3">
      <c r="A22" s="77"/>
      <c r="B22" s="99" t="s">
        <v>202</v>
      </c>
      <c r="C22" s="68">
        <f>(SUMIFS('Raw Crash data'!AJ:AJ,'Raw Crash data'!Q:Q,$U$5)+SUMIFS('Raw Crash data'!AJ:AJ,'Raw Crash data'!Q:Q,$U$6))</f>
        <v>0</v>
      </c>
      <c r="D22" s="72" t="s">
        <v>393</v>
      </c>
      <c r="E22" s="72" t="s">
        <v>393</v>
      </c>
      <c r="F22" s="72" t="s">
        <v>393</v>
      </c>
      <c r="G22" s="77"/>
      <c r="H22" s="99" t="s">
        <v>202</v>
      </c>
      <c r="I22" s="68">
        <f>(SUMIFS('Raw Crash data'!AJ:AJ,'Raw Crash data'!Q:Q,$V$5)+SUMIFS('Raw Crash data'!AJ:AJ,'Raw Crash data'!Q:Q,$V$6))</f>
        <v>6</v>
      </c>
      <c r="J22" s="72" t="s">
        <v>393</v>
      </c>
      <c r="K22" s="72" t="s">
        <v>393</v>
      </c>
      <c r="L22" s="72" t="s">
        <v>393</v>
      </c>
      <c r="M22" s="77"/>
      <c r="N22" s="99" t="s">
        <v>202</v>
      </c>
      <c r="O22" s="68">
        <f t="shared" si="0"/>
        <v>6</v>
      </c>
      <c r="P22" s="72" t="s">
        <v>393</v>
      </c>
      <c r="Q22" s="72" t="s">
        <v>393</v>
      </c>
      <c r="R22" s="72" t="s">
        <v>393</v>
      </c>
      <c r="S22" s="77"/>
      <c r="T22" s="77"/>
      <c r="U22" s="77"/>
      <c r="V22" s="77"/>
    </row>
    <row r="23" spans="1:22" x14ac:dyDescent="0.3">
      <c r="A23" s="77"/>
      <c r="B23" s="99" t="s">
        <v>150</v>
      </c>
      <c r="C23" s="68">
        <f>(SUMIFS('Raw Crash data'!AN:AN,'Raw Crash data'!Q:Q,$U$5)+SUMIFS('Raw Crash data'!AN:AN,'Raw Crash data'!Q:Q,$U$6))</f>
        <v>0</v>
      </c>
      <c r="D23" s="72" t="s">
        <v>393</v>
      </c>
      <c r="E23" s="72" t="s">
        <v>393</v>
      </c>
      <c r="F23" s="72" t="s">
        <v>393</v>
      </c>
      <c r="G23" s="77"/>
      <c r="H23" s="99" t="s">
        <v>150</v>
      </c>
      <c r="I23" s="68">
        <f>(SUMIFS('Raw Crash data'!AN:AN,'Raw Crash data'!Q:Q,$V$5)+SUMIFS('Raw Crash data'!AN:AN,'Raw Crash data'!Q:Q,$V$6))</f>
        <v>0</v>
      </c>
      <c r="J23" s="72" t="s">
        <v>393</v>
      </c>
      <c r="K23" s="72" t="s">
        <v>393</v>
      </c>
      <c r="L23" s="72" t="s">
        <v>393</v>
      </c>
      <c r="M23" s="77"/>
      <c r="N23" s="99" t="s">
        <v>150</v>
      </c>
      <c r="O23" s="68">
        <f t="shared" si="0"/>
        <v>0</v>
      </c>
      <c r="P23" s="72" t="s">
        <v>393</v>
      </c>
      <c r="Q23" s="72" t="s">
        <v>393</v>
      </c>
      <c r="R23" s="72" t="s">
        <v>393</v>
      </c>
      <c r="S23" s="77"/>
      <c r="T23" s="77"/>
      <c r="U23" s="77"/>
      <c r="V23" s="77"/>
    </row>
    <row r="24" spans="1:22" x14ac:dyDescent="0.3">
      <c r="A24" s="77"/>
      <c r="B24" s="99" t="s">
        <v>203</v>
      </c>
      <c r="C24" s="68">
        <f>(SUMIFS('Raw Crash data'!AO:AO,'Raw Crash data'!Q:Q,$U$5)+SUMIFS('Raw Crash data'!AO:AO,'Raw Crash data'!Q:Q,$U$6))</f>
        <v>0</v>
      </c>
      <c r="D24" s="72" t="s">
        <v>393</v>
      </c>
      <c r="E24" s="72" t="s">
        <v>393</v>
      </c>
      <c r="F24" s="72" t="s">
        <v>393</v>
      </c>
      <c r="G24" s="77"/>
      <c r="H24" s="99" t="s">
        <v>203</v>
      </c>
      <c r="I24" s="68">
        <f>(SUMIFS('Raw Crash data'!AO:AO,'Raw Crash data'!Q:Q,$V$5)+SUMIFS('Raw Crash data'!AO:AO,'Raw Crash data'!Q:Q,$V$6))</f>
        <v>0</v>
      </c>
      <c r="J24" s="72" t="s">
        <v>393</v>
      </c>
      <c r="K24" s="72" t="s">
        <v>393</v>
      </c>
      <c r="L24" s="72" t="s">
        <v>393</v>
      </c>
      <c r="M24" s="77"/>
      <c r="N24" s="99" t="s">
        <v>203</v>
      </c>
      <c r="O24" s="68">
        <f t="shared" si="0"/>
        <v>0</v>
      </c>
      <c r="P24" s="72" t="s">
        <v>393</v>
      </c>
      <c r="Q24" s="72" t="s">
        <v>393</v>
      </c>
      <c r="R24" s="72" t="s">
        <v>393</v>
      </c>
      <c r="S24" s="77"/>
      <c r="T24" s="77"/>
      <c r="U24" s="77"/>
      <c r="V24" s="77"/>
    </row>
    <row r="25" spans="1:22" x14ac:dyDescent="0.3">
      <c r="A25" s="77"/>
      <c r="B25" s="99" t="s">
        <v>204</v>
      </c>
      <c r="C25" s="68">
        <f>(SUMIFS('Raw Crash data'!AP:AP,'Raw Crash data'!Q:Q,$U$5)+SUMIFS('Raw Crash data'!AP:AP,'Raw Crash data'!Q:Q,$U$6))</f>
        <v>0</v>
      </c>
      <c r="D25" s="72" t="s">
        <v>393</v>
      </c>
      <c r="E25" s="72" t="s">
        <v>393</v>
      </c>
      <c r="F25" s="72" t="s">
        <v>393</v>
      </c>
      <c r="G25" s="77"/>
      <c r="H25" s="99" t="s">
        <v>204</v>
      </c>
      <c r="I25" s="68">
        <f>(SUMIFS('Raw Crash data'!AP:AP,'Raw Crash data'!Q:Q,$V$5)+SUMIFS('Raw Crash data'!AP:AP,'Raw Crash data'!Q:Q,$V$6))</f>
        <v>1</v>
      </c>
      <c r="J25" s="72" t="s">
        <v>393</v>
      </c>
      <c r="K25" s="72" t="s">
        <v>393</v>
      </c>
      <c r="L25" s="72" t="s">
        <v>393</v>
      </c>
      <c r="M25" s="77"/>
      <c r="N25" s="99" t="s">
        <v>204</v>
      </c>
      <c r="O25" s="68">
        <f t="shared" si="0"/>
        <v>1</v>
      </c>
      <c r="P25" s="72" t="s">
        <v>393</v>
      </c>
      <c r="Q25" s="72" t="s">
        <v>393</v>
      </c>
      <c r="R25" s="72" t="s">
        <v>393</v>
      </c>
      <c r="S25" s="77"/>
      <c r="T25" s="77"/>
      <c r="U25" s="77"/>
      <c r="V25" s="77"/>
    </row>
    <row r="26" spans="1:22" x14ac:dyDescent="0.3">
      <c r="A26" s="77"/>
      <c r="B26" s="99" t="s">
        <v>205</v>
      </c>
      <c r="C26" s="68">
        <f>(SUMIFS('Raw Crash data'!AQ:AQ,'Raw Crash data'!Q:Q,$U$5)+SUMIFS('Raw Crash data'!AQ:AQ,'Raw Crash data'!Q:Q,$U$6))</f>
        <v>0</v>
      </c>
      <c r="D26" s="72" t="s">
        <v>393</v>
      </c>
      <c r="E26" s="72" t="s">
        <v>393</v>
      </c>
      <c r="F26" s="72" t="s">
        <v>393</v>
      </c>
      <c r="G26" s="77"/>
      <c r="H26" s="99" t="s">
        <v>205</v>
      </c>
      <c r="I26" s="68">
        <f>(SUMIFS('Raw Crash data'!AQ:AQ,'Raw Crash data'!Q:Q,$V$5)+SUMIFS('Raw Crash data'!AQ:AQ,'Raw Crash data'!Q:Q,$V$6))</f>
        <v>1</v>
      </c>
      <c r="J26" s="72" t="s">
        <v>393</v>
      </c>
      <c r="K26" s="72" t="s">
        <v>393</v>
      </c>
      <c r="L26" s="72" t="s">
        <v>393</v>
      </c>
      <c r="M26" s="77"/>
      <c r="N26" s="99" t="s">
        <v>205</v>
      </c>
      <c r="O26" s="68">
        <f t="shared" si="0"/>
        <v>1</v>
      </c>
      <c r="P26" s="72" t="s">
        <v>393</v>
      </c>
      <c r="Q26" s="72" t="s">
        <v>393</v>
      </c>
      <c r="R26" s="72" t="s">
        <v>393</v>
      </c>
      <c r="S26" s="77"/>
      <c r="T26" s="77"/>
      <c r="U26" s="77"/>
      <c r="V26" s="77"/>
    </row>
    <row r="27" spans="1:22" x14ac:dyDescent="0.3">
      <c r="A27" s="77"/>
      <c r="B27" s="99" t="s">
        <v>389</v>
      </c>
      <c r="C27" s="68">
        <f>C19+C23</f>
        <v>1</v>
      </c>
      <c r="D27" s="72">
        <f>C27/5</f>
        <v>0.2</v>
      </c>
      <c r="E27" s="73">
        <f>($D27*1000000)/(365*5*'Inputs &amp; Outputs'!$C$42)</f>
        <v>0.23927738230543757</v>
      </c>
      <c r="F27" s="73">
        <f>$E27*(('Inputs &amp; Outputs'!$C$43*365)/1000000)</f>
        <v>4.4931719480574638E-2</v>
      </c>
      <c r="G27" s="77"/>
      <c r="H27" s="99" t="s">
        <v>146</v>
      </c>
      <c r="I27" s="68">
        <f>I19+I23</f>
        <v>0</v>
      </c>
      <c r="J27" s="72">
        <f>I27/5</f>
        <v>0</v>
      </c>
      <c r="K27" s="73">
        <f>(($I27*1000000)/(365*5*'Inputs &amp; Outputs'!$C$42))</f>
        <v>0</v>
      </c>
      <c r="L27" s="73">
        <f>$K27*(('Inputs &amp; Outputs'!C42*365)/1000000)</f>
        <v>0</v>
      </c>
      <c r="M27" s="77"/>
      <c r="N27" s="99" t="s">
        <v>146</v>
      </c>
      <c r="O27" s="68">
        <f t="shared" si="0"/>
        <v>1</v>
      </c>
      <c r="P27" s="72">
        <f>O27/5</f>
        <v>0.2</v>
      </c>
      <c r="Q27" s="73">
        <f>(($O27*1000000)/(365*5*'Inputs &amp; Outputs'!$C$42))</f>
        <v>1.1963869115271879</v>
      </c>
      <c r="R27" s="73">
        <f>$Q27*((365*'Inputs &amp; Outputs'!$C$43)/1000000)</f>
        <v>0.22465859740287319</v>
      </c>
      <c r="S27" s="77"/>
      <c r="T27" s="77"/>
      <c r="U27" s="77"/>
      <c r="V27" s="77"/>
    </row>
    <row r="28" spans="1:22" x14ac:dyDescent="0.3">
      <c r="A28" s="77"/>
      <c r="B28" s="99" t="s">
        <v>391</v>
      </c>
      <c r="C28" s="68">
        <f t="shared" ref="C28:C30" si="5">C20+C24</f>
        <v>0</v>
      </c>
      <c r="D28" s="72">
        <f>C28/5</f>
        <v>0</v>
      </c>
      <c r="E28" s="73">
        <f>($D28*1000000)/(365*5*'Inputs &amp; Outputs'!$C$42)</f>
        <v>0</v>
      </c>
      <c r="F28" s="73">
        <f>$E28*(('Inputs &amp; Outputs'!$C$43*365)/1000000)</f>
        <v>0</v>
      </c>
      <c r="G28" s="77"/>
      <c r="H28" s="99" t="s">
        <v>147</v>
      </c>
      <c r="I28" s="68">
        <f t="shared" ref="I28:I30" si="6">I20+I24</f>
        <v>1</v>
      </c>
      <c r="J28" s="72">
        <f>I28/5</f>
        <v>0.2</v>
      </c>
      <c r="K28" s="73">
        <f>(($I28*1000000)/(365*5*'Inputs &amp; Outputs'!$C$42))</f>
        <v>1.1963869115271879</v>
      </c>
      <c r="L28" s="73">
        <f>$K28*(('Inputs &amp; Outputs'!C43*365)/1000000)</f>
        <v>0.22465859740287319</v>
      </c>
      <c r="M28" s="77"/>
      <c r="N28" s="99" t="s">
        <v>147</v>
      </c>
      <c r="O28" s="68">
        <f t="shared" si="0"/>
        <v>1</v>
      </c>
      <c r="P28" s="72">
        <f>O28/5</f>
        <v>0.2</v>
      </c>
      <c r="Q28" s="73">
        <f>(($O28*1000000)/(365*5*'Inputs &amp; Outputs'!$C$42))</f>
        <v>1.1963869115271879</v>
      </c>
      <c r="R28" s="73">
        <f>$Q28*((365*'Inputs &amp; Outputs'!$C$43)/1000000)</f>
        <v>0.22465859740287319</v>
      </c>
      <c r="S28" s="77"/>
      <c r="T28" s="77"/>
      <c r="U28" s="77"/>
      <c r="V28" s="77"/>
    </row>
    <row r="29" spans="1:22" x14ac:dyDescent="0.3">
      <c r="A29" s="77"/>
      <c r="B29" s="99" t="s">
        <v>390</v>
      </c>
      <c r="C29" s="68">
        <f t="shared" si="5"/>
        <v>1</v>
      </c>
      <c r="D29" s="72">
        <f>C29/5</f>
        <v>0.2</v>
      </c>
      <c r="E29" s="73">
        <f>($D29*1000000)/(365*5*'Inputs &amp; Outputs'!$C$42)</f>
        <v>0.23927738230543757</v>
      </c>
      <c r="F29" s="73">
        <f>$E29*(('Inputs &amp; Outputs'!$C$43*365)/1000000)</f>
        <v>4.4931719480574638E-2</v>
      </c>
      <c r="G29" s="77"/>
      <c r="H29" s="99" t="s">
        <v>147</v>
      </c>
      <c r="I29" s="68">
        <f t="shared" si="6"/>
        <v>2</v>
      </c>
      <c r="J29" s="72">
        <f>I29/5</f>
        <v>0.4</v>
      </c>
      <c r="K29" s="73">
        <f>(($I29*1000000)/(365*5*'Inputs &amp; Outputs'!$C$42))</f>
        <v>2.3927738230543758</v>
      </c>
      <c r="L29" s="73">
        <f>$K29*(('Inputs &amp; Outputs'!C44*365)/1000000)</f>
        <v>0</v>
      </c>
      <c r="M29" s="77"/>
      <c r="N29" s="99" t="s">
        <v>147</v>
      </c>
      <c r="O29" s="68">
        <f t="shared" si="0"/>
        <v>3</v>
      </c>
      <c r="P29" s="72">
        <f>O29/5</f>
        <v>0.6</v>
      </c>
      <c r="Q29" s="73">
        <f>(($O29*1000000)/(365*5*'Inputs &amp; Outputs'!$C$42))</f>
        <v>3.5891607345815637</v>
      </c>
      <c r="R29" s="73">
        <f>$Q29*((365*'Inputs &amp; Outputs'!$C$43)/1000000)</f>
        <v>0.67397579220861958</v>
      </c>
      <c r="S29" s="77"/>
      <c r="T29" s="77"/>
      <c r="U29" s="77"/>
      <c r="V29" s="77"/>
    </row>
    <row r="30" spans="1:22" x14ac:dyDescent="0.3">
      <c r="A30" s="77"/>
      <c r="B30" s="99" t="s">
        <v>392</v>
      </c>
      <c r="C30" s="68">
        <f t="shared" si="5"/>
        <v>0</v>
      </c>
      <c r="D30" s="72">
        <f>C30/5</f>
        <v>0</v>
      </c>
      <c r="E30" s="73">
        <f>($D30*1000000)/(365*5*'Inputs &amp; Outputs'!$C$42)</f>
        <v>0</v>
      </c>
      <c r="F30" s="73">
        <f>$E30*(('Inputs &amp; Outputs'!$C$43*365)/1000000)</f>
        <v>0</v>
      </c>
      <c r="G30" s="77"/>
      <c r="H30" s="99" t="s">
        <v>147</v>
      </c>
      <c r="I30" s="68">
        <f t="shared" si="6"/>
        <v>7</v>
      </c>
      <c r="J30" s="72">
        <f>I30/5</f>
        <v>1.4</v>
      </c>
      <c r="K30" s="73">
        <f>(($I30*1000000)/(365*5*'Inputs &amp; Outputs'!$C$42))</f>
        <v>8.3747083806903149</v>
      </c>
      <c r="L30" s="73">
        <f>$K30*(('Inputs &amp; Outputs'!C45*365)/1000000)</f>
        <v>0</v>
      </c>
      <c r="M30" s="77"/>
      <c r="N30" s="99" t="s">
        <v>147</v>
      </c>
      <c r="O30" s="68">
        <f t="shared" si="0"/>
        <v>7</v>
      </c>
      <c r="P30" s="72">
        <f>O30/5</f>
        <v>1.4</v>
      </c>
      <c r="Q30" s="73">
        <f>(($O30*1000000)/(365*5*'Inputs &amp; Outputs'!$C$42))</f>
        <v>8.3747083806903149</v>
      </c>
      <c r="R30" s="73">
        <f>$Q30*((365*'Inputs &amp; Outputs'!$C$43)/1000000)</f>
        <v>1.5726101818201124</v>
      </c>
      <c r="S30" s="77"/>
      <c r="T30" s="77"/>
      <c r="U30" s="77"/>
      <c r="V30" s="77"/>
    </row>
    <row r="31" spans="1:22" x14ac:dyDescent="0.3">
      <c r="A31" s="77"/>
      <c r="B31" s="77"/>
      <c r="C31" s="77"/>
      <c r="D31" s="77"/>
      <c r="E31" s="78"/>
      <c r="F31" s="78"/>
      <c r="G31" s="77"/>
      <c r="H31" s="77"/>
      <c r="I31" s="77"/>
      <c r="J31" s="77"/>
      <c r="K31" s="78"/>
      <c r="L31" s="78"/>
      <c r="M31" s="77"/>
      <c r="N31" s="77"/>
      <c r="O31" s="77"/>
      <c r="P31" s="77"/>
      <c r="Q31" s="77"/>
      <c r="R31" s="77"/>
      <c r="S31" s="77"/>
      <c r="T31" s="77"/>
      <c r="U31" s="77"/>
      <c r="V31" s="77"/>
    </row>
    <row r="32" spans="1:22" s="95" customFormat="1" ht="15" customHeight="1" x14ac:dyDescent="0.3">
      <c r="A32" s="100"/>
      <c r="B32" s="222" t="s">
        <v>230</v>
      </c>
      <c r="C32" s="222"/>
      <c r="D32" s="222"/>
      <c r="E32" s="222"/>
      <c r="F32" s="222"/>
      <c r="G32" s="100"/>
      <c r="H32" s="107"/>
      <c r="I32" s="81"/>
      <c r="J32" s="81"/>
      <c r="K32" s="104"/>
      <c r="L32" s="104"/>
      <c r="M32" s="100"/>
      <c r="N32" s="100"/>
      <c r="O32" s="100"/>
      <c r="P32" s="100"/>
      <c r="Q32" s="100"/>
      <c r="R32" s="100"/>
      <c r="S32" s="100"/>
      <c r="T32" s="100"/>
      <c r="U32" s="100"/>
      <c r="V32" s="100"/>
    </row>
    <row r="33" spans="1:22" ht="28.8" x14ac:dyDescent="0.3">
      <c r="A33" s="77"/>
      <c r="B33" s="101"/>
      <c r="C33" s="101" t="s">
        <v>146</v>
      </c>
      <c r="D33" s="101" t="s">
        <v>207</v>
      </c>
      <c r="E33" s="101" t="s">
        <v>208</v>
      </c>
      <c r="F33" s="101" t="s">
        <v>209</v>
      </c>
      <c r="G33" s="77"/>
      <c r="H33" s="105"/>
      <c r="I33" s="106"/>
      <c r="J33" s="107"/>
      <c r="K33" s="108"/>
      <c r="L33" s="104"/>
      <c r="M33" s="77"/>
      <c r="N33" s="77"/>
      <c r="O33" s="77"/>
      <c r="P33" s="77"/>
      <c r="Q33" s="77"/>
      <c r="R33" s="77"/>
      <c r="S33" s="77"/>
      <c r="T33" s="77"/>
      <c r="U33" s="77"/>
      <c r="V33" s="77"/>
    </row>
    <row r="34" spans="1:22" x14ac:dyDescent="0.3">
      <c r="A34" s="77"/>
      <c r="B34" s="101" t="s">
        <v>157</v>
      </c>
      <c r="C34" s="74">
        <f>F27+L27</f>
        <v>4.4931719480574638E-2</v>
      </c>
      <c r="D34" s="74">
        <f>F28+L28</f>
        <v>0.22465859740287319</v>
      </c>
      <c r="E34" s="74">
        <f>F29*L29</f>
        <v>0</v>
      </c>
      <c r="F34" s="74">
        <f>F30*L30</f>
        <v>0</v>
      </c>
      <c r="G34" s="77"/>
      <c r="H34" s="81"/>
      <c r="I34" s="81"/>
      <c r="J34" s="81"/>
      <c r="K34" s="81"/>
      <c r="L34" s="81"/>
      <c r="M34" s="77"/>
      <c r="N34" s="77"/>
      <c r="O34" s="77"/>
      <c r="P34" s="77"/>
      <c r="Q34" s="77"/>
      <c r="R34" s="77"/>
      <c r="S34" s="77"/>
      <c r="T34" s="77"/>
      <c r="U34" s="77"/>
      <c r="V34" s="77"/>
    </row>
    <row r="35" spans="1:22" x14ac:dyDescent="0.3">
      <c r="A35" s="77"/>
      <c r="B35" s="101" t="s">
        <v>449</v>
      </c>
      <c r="C35" s="74">
        <v>0</v>
      </c>
      <c r="D35" s="74">
        <v>0</v>
      </c>
      <c r="E35" s="74">
        <v>0</v>
      </c>
      <c r="F35" s="74">
        <v>0</v>
      </c>
      <c r="G35" s="77"/>
      <c r="H35" s="105"/>
      <c r="I35" s="106"/>
      <c r="J35" s="81"/>
      <c r="K35" s="105"/>
      <c r="L35" s="81"/>
      <c r="M35" s="77"/>
      <c r="N35" s="77"/>
      <c r="O35" s="77"/>
      <c r="P35" s="77"/>
      <c r="Q35" s="77"/>
      <c r="R35" s="77"/>
      <c r="S35" s="77"/>
      <c r="T35" s="77"/>
      <c r="U35" s="77"/>
      <c r="V35" s="77"/>
    </row>
    <row r="36" spans="1:22" x14ac:dyDescent="0.3">
      <c r="A36" s="77"/>
      <c r="B36" s="77"/>
      <c r="C36" s="77"/>
      <c r="D36" s="77"/>
      <c r="E36" s="77"/>
      <c r="F36" s="77"/>
      <c r="G36" s="77"/>
      <c r="H36" s="109"/>
      <c r="I36" s="81"/>
      <c r="J36" s="81"/>
      <c r="K36" s="109"/>
      <c r="L36" s="81"/>
      <c r="M36" s="77"/>
      <c r="N36" s="77"/>
      <c r="O36" s="77"/>
      <c r="P36" s="77"/>
      <c r="Q36" s="77"/>
      <c r="R36" s="77"/>
      <c r="S36" s="77"/>
      <c r="T36" s="77"/>
      <c r="U36" s="77"/>
      <c r="V36" s="77"/>
    </row>
    <row r="37" spans="1:22" x14ac:dyDescent="0.3">
      <c r="A37" s="77"/>
      <c r="B37" s="77"/>
      <c r="C37" s="77"/>
      <c r="D37" s="113"/>
      <c r="E37" s="114"/>
      <c r="F37" s="77"/>
      <c r="G37" s="77"/>
      <c r="H37" s="81"/>
      <c r="I37" s="81"/>
      <c r="J37" s="81"/>
      <c r="K37" s="81"/>
      <c r="L37" s="81"/>
      <c r="M37" s="77"/>
      <c r="N37" s="77"/>
      <c r="O37" s="77"/>
      <c r="P37" s="77"/>
      <c r="Q37" s="77"/>
      <c r="R37" s="77"/>
      <c r="S37" s="77"/>
      <c r="T37" s="77"/>
      <c r="U37" s="77"/>
      <c r="V37" s="77"/>
    </row>
    <row r="38" spans="1:22" x14ac:dyDescent="0.3">
      <c r="A38" s="77"/>
      <c r="B38" s="77"/>
      <c r="C38" s="115"/>
      <c r="D38" s="77"/>
      <c r="E38" s="77"/>
      <c r="F38" s="77"/>
      <c r="G38" s="77"/>
      <c r="H38" s="77"/>
      <c r="I38" s="77"/>
      <c r="J38" s="77"/>
      <c r="K38" s="77"/>
      <c r="L38" s="77"/>
      <c r="M38" s="77"/>
      <c r="N38" s="77"/>
      <c r="O38" s="77"/>
      <c r="P38" s="77"/>
      <c r="Q38" s="77"/>
      <c r="R38" s="77"/>
      <c r="S38" s="77"/>
      <c r="T38" s="77"/>
      <c r="U38" s="77"/>
      <c r="V38" s="77"/>
    </row>
    <row r="39" spans="1:22" x14ac:dyDescent="0.3">
      <c r="A39" s="77"/>
      <c r="B39" s="77"/>
      <c r="C39" s="77"/>
      <c r="D39" s="77"/>
      <c r="E39" s="77"/>
      <c r="F39" s="77"/>
      <c r="G39" s="77"/>
      <c r="H39" s="77"/>
      <c r="I39" s="77"/>
      <c r="J39" s="77"/>
      <c r="K39" s="77"/>
      <c r="L39" s="77"/>
      <c r="M39" s="77"/>
      <c r="N39" s="77"/>
      <c r="O39" s="77"/>
      <c r="P39" s="77"/>
      <c r="Q39" s="77"/>
      <c r="R39" s="77"/>
      <c r="S39" s="77"/>
      <c r="T39" s="77"/>
      <c r="U39" s="77"/>
      <c r="V39" s="77"/>
    </row>
    <row r="40" spans="1:22" x14ac:dyDescent="0.3">
      <c r="B40" s="97"/>
      <c r="C40" s="97"/>
      <c r="D40" s="97"/>
      <c r="E40" s="97"/>
      <c r="F40" s="97"/>
      <c r="G40" s="97"/>
      <c r="H40" s="97"/>
    </row>
    <row r="41" spans="1:22" x14ac:dyDescent="0.3">
      <c r="B41" s="97"/>
      <c r="C41" s="97"/>
      <c r="D41" s="97"/>
      <c r="E41" s="97"/>
      <c r="F41" s="97"/>
      <c r="G41" s="97"/>
      <c r="H41" s="97"/>
    </row>
    <row r="42" spans="1:22" x14ac:dyDescent="0.3">
      <c r="B42" s="97"/>
      <c r="C42" s="65"/>
      <c r="D42" s="66"/>
      <c r="E42" s="67"/>
      <c r="F42" s="67"/>
      <c r="G42" s="97"/>
      <c r="H42" s="97"/>
    </row>
    <row r="43" spans="1:22" x14ac:dyDescent="0.3">
      <c r="B43" s="97"/>
      <c r="C43" s="97"/>
      <c r="D43" s="97"/>
      <c r="E43" s="97"/>
      <c r="F43" s="97"/>
      <c r="G43" s="97"/>
      <c r="H43" s="97"/>
    </row>
    <row r="44" spans="1:22" x14ac:dyDescent="0.3">
      <c r="B44" s="97"/>
      <c r="C44" s="65"/>
      <c r="D44" s="97"/>
      <c r="E44" s="98"/>
      <c r="F44" s="98"/>
      <c r="G44" s="97"/>
      <c r="H44" s="97"/>
    </row>
    <row r="45" spans="1:22" x14ac:dyDescent="0.3">
      <c r="B45" s="97"/>
      <c r="C45" s="97"/>
      <c r="D45" s="97"/>
      <c r="E45" s="97"/>
      <c r="F45" s="97"/>
      <c r="G45" s="97"/>
      <c r="H45" s="97"/>
    </row>
    <row r="46" spans="1:22" x14ac:dyDescent="0.3">
      <c r="B46" s="97"/>
      <c r="C46" s="97"/>
      <c r="D46" s="97"/>
      <c r="E46" s="97"/>
      <c r="F46" s="97"/>
      <c r="G46" s="97"/>
      <c r="H46" s="97"/>
    </row>
  </sheetData>
  <sheetProtection algorithmName="SHA-512" hashValue="5sSelmUFk8cw/vpYdy4NhEkkw3L3KpCmi1DJF2QCddfkh9zeZ9O1BryrVdD2JNUydRd5PqOSMh8Nn59+RMPN3A==" saltValue="ife0z/cuPt6UXT1tit30sQ==" spinCount="100000" sheet="1" objects="1" scenarios="1"/>
  <mergeCells count="7">
    <mergeCell ref="N3:R3"/>
    <mergeCell ref="B3:F3"/>
    <mergeCell ref="H3:L3"/>
    <mergeCell ref="B32:F32"/>
    <mergeCell ref="C1:D1"/>
    <mergeCell ref="F1:H1"/>
    <mergeCell ref="B11:F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8"/>
    <pageSetUpPr fitToPage="1"/>
  </sheetPr>
  <dimension ref="A1:Y54"/>
  <sheetViews>
    <sheetView topLeftCell="I17" zoomScale="85" zoomScaleNormal="85" workbookViewId="0">
      <selection activeCell="X10" sqref="X10"/>
    </sheetView>
  </sheetViews>
  <sheetFormatPr defaultColWidth="9.109375" defaultRowHeight="14.4" x14ac:dyDescent="0.3"/>
  <cols>
    <col min="1" max="1" width="26.6640625" style="82" customWidth="1"/>
    <col min="2" max="2" width="13.88671875" style="82" customWidth="1"/>
    <col min="3" max="3" width="5.33203125" style="82" customWidth="1"/>
    <col min="4" max="4" width="29.109375" style="82" customWidth="1"/>
    <col min="5" max="5" width="28.6640625" style="82" customWidth="1"/>
    <col min="6" max="6" width="29.33203125" style="82" customWidth="1"/>
    <col min="7" max="7" width="5.5546875" style="82" customWidth="1"/>
    <col min="8" max="8" width="5.6640625" style="82" customWidth="1"/>
    <col min="9" max="9" width="7.109375" style="82" customWidth="1"/>
    <col min="10" max="10" width="9.33203125" style="82" customWidth="1"/>
    <col min="11" max="11" width="13.88671875" style="82" customWidth="1"/>
    <col min="12" max="12" width="10.109375" style="87" customWidth="1"/>
    <col min="13" max="13" width="16.88671875" style="88" hidden="1" customWidth="1"/>
    <col min="14" max="14" width="7.88671875" style="82" customWidth="1"/>
    <col min="15" max="15" width="17.33203125" style="82" customWidth="1"/>
    <col min="16" max="16" width="10.33203125" style="82" customWidth="1"/>
    <col min="17" max="17" width="19.109375" style="82" customWidth="1"/>
    <col min="18" max="18" width="10.33203125" style="82" customWidth="1"/>
    <col min="19" max="19" width="19.109375" style="82" customWidth="1"/>
    <col min="20" max="20" width="10.33203125" style="82" customWidth="1"/>
    <col min="21" max="21" width="17.5546875" style="82" customWidth="1"/>
    <col min="22" max="22" width="10.33203125" style="82" customWidth="1"/>
    <col min="23" max="23" width="14.44140625" style="82" customWidth="1"/>
    <col min="24" max="24" width="20.33203125" style="82" customWidth="1"/>
    <col min="25" max="16384" width="9.109375" style="82"/>
  </cols>
  <sheetData>
    <row r="1" spans="1:25" x14ac:dyDescent="0.3">
      <c r="A1" s="77"/>
      <c r="B1" s="77"/>
      <c r="C1" s="77"/>
      <c r="D1" s="77"/>
      <c r="E1" s="77"/>
      <c r="F1" s="77"/>
      <c r="G1" s="77"/>
      <c r="H1" s="77"/>
      <c r="I1" s="225" t="s">
        <v>261</v>
      </c>
      <c r="J1" s="226"/>
      <c r="K1" s="226"/>
      <c r="L1" s="226"/>
      <c r="M1" s="226"/>
      <c r="N1" s="226"/>
      <c r="O1" s="226"/>
      <c r="P1" s="226"/>
      <c r="Q1" s="226"/>
      <c r="R1" s="226"/>
      <c r="S1" s="226"/>
      <c r="T1" s="226"/>
      <c r="U1" s="226"/>
      <c r="V1" s="226"/>
      <c r="W1" s="226"/>
      <c r="X1" s="227"/>
      <c r="Y1" s="77"/>
    </row>
    <row r="2" spans="1:25" x14ac:dyDescent="0.3">
      <c r="A2" s="77"/>
      <c r="B2" s="77"/>
      <c r="C2" s="77"/>
      <c r="D2" s="77"/>
      <c r="E2" s="77"/>
      <c r="F2" s="77"/>
      <c r="G2" s="77"/>
      <c r="H2" s="77"/>
      <c r="I2" s="228" t="s">
        <v>13</v>
      </c>
      <c r="J2" s="228" t="s">
        <v>80</v>
      </c>
      <c r="K2" s="231" t="s">
        <v>379</v>
      </c>
      <c r="L2" s="230" t="s">
        <v>59</v>
      </c>
      <c r="M2" s="158"/>
      <c r="N2" s="231" t="s">
        <v>60</v>
      </c>
      <c r="O2" s="231" t="s">
        <v>348</v>
      </c>
      <c r="P2" s="231" t="s">
        <v>349</v>
      </c>
      <c r="Q2" s="231" t="s">
        <v>350</v>
      </c>
      <c r="R2" s="231" t="s">
        <v>351</v>
      </c>
      <c r="S2" s="231" t="s">
        <v>385</v>
      </c>
      <c r="T2" s="231" t="s">
        <v>386</v>
      </c>
      <c r="U2" s="231" t="s">
        <v>398</v>
      </c>
      <c r="V2" s="231" t="s">
        <v>397</v>
      </c>
      <c r="W2" s="231" t="s">
        <v>193</v>
      </c>
      <c r="X2" s="231" t="s">
        <v>514</v>
      </c>
      <c r="Y2" s="77"/>
    </row>
    <row r="3" spans="1:25" x14ac:dyDescent="0.3">
      <c r="A3" s="159" t="s">
        <v>1</v>
      </c>
      <c r="B3" s="160"/>
      <c r="C3" s="161"/>
      <c r="D3" s="162" t="s">
        <v>234</v>
      </c>
      <c r="E3" s="163">
        <v>2022</v>
      </c>
      <c r="F3" s="162" t="s">
        <v>235</v>
      </c>
      <c r="G3" s="78"/>
      <c r="H3" s="78"/>
      <c r="I3" s="229"/>
      <c r="J3" s="229"/>
      <c r="K3" s="231"/>
      <c r="L3" s="230"/>
      <c r="M3" s="164" t="s">
        <v>14</v>
      </c>
      <c r="N3" s="231"/>
      <c r="O3" s="231"/>
      <c r="P3" s="231"/>
      <c r="Q3" s="231"/>
      <c r="R3" s="231"/>
      <c r="S3" s="231"/>
      <c r="T3" s="231"/>
      <c r="U3" s="231"/>
      <c r="V3" s="231"/>
      <c r="W3" s="231"/>
      <c r="X3" s="231"/>
      <c r="Y3" s="77"/>
    </row>
    <row r="4" spans="1:25" ht="15.6" x14ac:dyDescent="0.3">
      <c r="A4" s="165" t="s">
        <v>2</v>
      </c>
      <c r="B4" s="79">
        <v>2022</v>
      </c>
      <c r="C4" s="161"/>
      <c r="D4" s="80" t="s">
        <v>238</v>
      </c>
      <c r="E4" s="166">
        <f>'Inputs &amp; Outputs'!$C$40</f>
        <v>27211</v>
      </c>
      <c r="F4" s="166">
        <f>VLOOKUP(Year_Open_to_Traffic?,Calculations!I4:J36,2,Calculations!J4:J36)</f>
        <v>30565.925469647907</v>
      </c>
      <c r="G4" s="78"/>
      <c r="H4" s="167"/>
      <c r="I4" s="168">
        <v>2022</v>
      </c>
      <c r="J4" s="169">
        <f>'Inputs &amp; Outputs'!$C$40</f>
        <v>27211</v>
      </c>
      <c r="K4" s="169">
        <f>'Inputs &amp; Outputs'!C42</f>
        <v>458</v>
      </c>
      <c r="L4" s="170" t="s">
        <v>62</v>
      </c>
      <c r="M4" s="171">
        <f>MIN(B15,1)</f>
        <v>1</v>
      </c>
      <c r="N4" s="168">
        <f>-(ROUNDUP(M4,0)-2)</f>
        <v>1</v>
      </c>
      <c r="O4" s="172">
        <f>IF($I4=Year_Open_to_Traffic?,Calculations!$E$50,0)</f>
        <v>0</v>
      </c>
      <c r="P4" s="169">
        <f t="shared" ref="P4:P37" si="0">IF(AND($I4&gt;=Year_Open_to_Traffic?,$I4&lt;Year_Open_to_Traffic?+Years_to_include_in_BCA_Analysis1),1,0)</f>
        <v>0</v>
      </c>
      <c r="Q4" s="172">
        <f>IF($I4=Year_Open_to_Traffic?,$E$51,0)</f>
        <v>0</v>
      </c>
      <c r="R4" s="169">
        <f t="shared" ref="R4:R37" si="1">IF(AND($I4&gt;=Year_Open_to_Traffic?,$I4&lt;Year_Open_to_Traffic?+Years_to_include_in_BCA_Analysis2),1,0)</f>
        <v>0</v>
      </c>
      <c r="S4" s="172">
        <f>IF($I4=Year_Open_to_Traffic?,$E$52,0)</f>
        <v>0</v>
      </c>
      <c r="T4" s="169">
        <f t="shared" ref="T4:T37" si="2">IF(AND($I4&gt;=Year_Open_to_Traffic?,$I4&lt;Year_Open_to_Traffic?+Years_to_include_in_BCA_Analysis3),1,0)</f>
        <v>0</v>
      </c>
      <c r="U4" s="172">
        <f>IF($I4=Year_Open_to_Traffic?,$E$53,0)</f>
        <v>0</v>
      </c>
      <c r="V4" s="169">
        <f t="shared" ref="V4:V37" si="3">IF(AND($I4&gt;=Year_Open_to_Traffic?,$I4&lt;Year_Open_to_Traffic?+$B$8),1,0)</f>
        <v>0</v>
      </c>
      <c r="W4" s="172">
        <f>((O4*P4)+(Q4*R4)+(S4*T4)+(U4*V4))/10^3</f>
        <v>0</v>
      </c>
      <c r="X4" s="173">
        <f>W4/(1+Real_Discount_Rate)^(Calculations!I4-'Assumed Values'!$C$5)</f>
        <v>0</v>
      </c>
      <c r="Y4" s="77"/>
    </row>
    <row r="5" spans="1:25" ht="28.8" x14ac:dyDescent="0.3">
      <c r="A5" s="165" t="s">
        <v>352</v>
      </c>
      <c r="B5" s="165">
        <f>Service_Life1</f>
        <v>20</v>
      </c>
      <c r="C5" s="161"/>
      <c r="D5" s="80" t="s">
        <v>236</v>
      </c>
      <c r="E5" s="166">
        <f>'Inputs &amp; Outputs'!$C$40*'Inputs &amp; Outputs'!$C$11</f>
        <v>54422</v>
      </c>
      <c r="F5" s="166">
        <f>$F$4*'Inputs &amp; Outputs'!$C$11</f>
        <v>61131.850939295815</v>
      </c>
      <c r="G5" s="78"/>
      <c r="H5" s="167"/>
      <c r="I5" s="174">
        <f t="shared" ref="I5:I37" si="4">I4+1</f>
        <v>2023</v>
      </c>
      <c r="J5" s="175">
        <f>J4+J4*L5</f>
        <v>27851.148686642591</v>
      </c>
      <c r="K5" s="175">
        <f>K4+K4*L5</f>
        <v>468.77461682710327</v>
      </c>
      <c r="L5" s="176">
        <f t="shared" ref="L5:L12" si="5">_2030_2030_Demand_Growth</f>
        <v>2.3525364251317127E-2</v>
      </c>
      <c r="M5" s="177">
        <f t="shared" ref="M5:M11" si="6">M4*(1+IFERROR(_2021_2030_V_C_Growth,_2021_2045_V_C_Growth))</f>
        <v>1</v>
      </c>
      <c r="N5" s="178">
        <f t="shared" ref="N5:N36" si="7">-(ROUNDUP(M5,0)-2)</f>
        <v>1</v>
      </c>
      <c r="O5" s="172">
        <f>IF($I5=Year_Open_to_Traffic?,Calculations!$E$50,Calculations!O4+(Calculations!O4*Calculations!$L5*N5))</f>
        <v>0</v>
      </c>
      <c r="P5" s="169">
        <f t="shared" si="0"/>
        <v>0</v>
      </c>
      <c r="Q5" s="172">
        <f>IF(I5=Year_Open_to_Traffic?,$E$51,Calculations!Q4+(Calculations!Q4*Calculations!$L5*R5))</f>
        <v>0</v>
      </c>
      <c r="R5" s="169">
        <f t="shared" si="1"/>
        <v>0</v>
      </c>
      <c r="S5" s="172">
        <f>IF($I5=Year_Open_to_Traffic?,$E$52,Calculations!S4+(Calculations!S4*Calculations!$L5*T5))</f>
        <v>0</v>
      </c>
      <c r="T5" s="169">
        <f t="shared" si="2"/>
        <v>0</v>
      </c>
      <c r="U5" s="172">
        <f>IF($I5=Year_Open_to_Traffic?,$E$53,Calculations!U4+(Calculations!U4*Calculations!$L5*V5))</f>
        <v>0</v>
      </c>
      <c r="V5" s="169">
        <f t="shared" si="3"/>
        <v>0</v>
      </c>
      <c r="W5" s="172">
        <f t="shared" ref="W5:W36" si="8">((O5*P5)+(Q5*R5)+(S5*T5)+(U5*V5))/10^3</f>
        <v>0</v>
      </c>
      <c r="X5" s="173">
        <f>W5/(1+Real_Discount_Rate)^(Calculations!I5-'Assumed Values'!$C$5)</f>
        <v>0</v>
      </c>
      <c r="Y5" s="77"/>
    </row>
    <row r="6" spans="1:25" ht="28.8" x14ac:dyDescent="0.3">
      <c r="A6" s="165" t="s">
        <v>380</v>
      </c>
      <c r="B6" s="165">
        <f>Service_Life2</f>
        <v>10</v>
      </c>
      <c r="C6" s="161"/>
      <c r="D6" s="80" t="s">
        <v>237</v>
      </c>
      <c r="E6" s="166">
        <f>E5*B9</f>
        <v>19864030</v>
      </c>
      <c r="F6" s="166">
        <f>$F$5*$B$9</f>
        <v>22313125.592842974</v>
      </c>
      <c r="G6" s="78"/>
      <c r="H6" s="167"/>
      <c r="I6" s="168">
        <f t="shared" si="4"/>
        <v>2024</v>
      </c>
      <c r="J6" s="175">
        <f t="shared" ref="J6:J36" si="9">J5+J5*L6</f>
        <v>28506.357104313451</v>
      </c>
      <c r="K6" s="175">
        <f t="shared" ref="K6:K36" si="10">K5+K5*L6</f>
        <v>479.80271043973249</v>
      </c>
      <c r="L6" s="176">
        <f t="shared" si="5"/>
        <v>2.3525364251317127E-2</v>
      </c>
      <c r="M6" s="177">
        <f t="shared" si="6"/>
        <v>1</v>
      </c>
      <c r="N6" s="178">
        <f t="shared" si="7"/>
        <v>1</v>
      </c>
      <c r="O6" s="172">
        <f>IF(I6=Year_Open_to_Traffic?,Calculations!$E$50,Calculations!O5+(Calculations!O5*Calculations!$L6*N6))</f>
        <v>0</v>
      </c>
      <c r="P6" s="169">
        <f t="shared" si="0"/>
        <v>0</v>
      </c>
      <c r="Q6" s="172">
        <f>IF(I6=Year_Open_to_Traffic?,$E$51,Calculations!Q5+(Calculations!Q5*Calculations!$L6*R6))</f>
        <v>0</v>
      </c>
      <c r="R6" s="169">
        <f t="shared" si="1"/>
        <v>0</v>
      </c>
      <c r="S6" s="172">
        <f>IF($I6=Year_Open_to_Traffic?,$E$52,Calculations!S5+(Calculations!S5*Calculations!$L6*T6))</f>
        <v>0</v>
      </c>
      <c r="T6" s="169">
        <f t="shared" si="2"/>
        <v>0</v>
      </c>
      <c r="U6" s="172">
        <f>IF($I6=Year_Open_to_Traffic?,$E$53,Calculations!U5+(Calculations!U5*Calculations!$L6*V6))</f>
        <v>0</v>
      </c>
      <c r="V6" s="169">
        <f t="shared" si="3"/>
        <v>0</v>
      </c>
      <c r="W6" s="172">
        <f t="shared" si="8"/>
        <v>0</v>
      </c>
      <c r="X6" s="173">
        <f>W6/(1+Real_Discount_Rate)^(Calculations!I6-'Assumed Values'!$C$5)</f>
        <v>0</v>
      </c>
      <c r="Y6" s="77"/>
    </row>
    <row r="7" spans="1:25" ht="28.8" x14ac:dyDescent="0.3">
      <c r="A7" s="165" t="s">
        <v>381</v>
      </c>
      <c r="B7" s="165">
        <f>Service_Life3</f>
        <v>20</v>
      </c>
      <c r="C7" s="161"/>
      <c r="D7" s="161"/>
      <c r="E7" s="161"/>
      <c r="F7" s="161"/>
      <c r="G7" s="78"/>
      <c r="H7" s="167"/>
      <c r="I7" s="174">
        <f t="shared" si="4"/>
        <v>2025</v>
      </c>
      <c r="J7" s="175">
        <f t="shared" si="9"/>
        <v>29176.979538670545</v>
      </c>
      <c r="K7" s="175">
        <f t="shared" si="10"/>
        <v>491.09024397159646</v>
      </c>
      <c r="L7" s="176">
        <f t="shared" si="5"/>
        <v>2.3525364251317127E-2</v>
      </c>
      <c r="M7" s="177">
        <f t="shared" si="6"/>
        <v>1</v>
      </c>
      <c r="N7" s="178">
        <f t="shared" si="7"/>
        <v>1</v>
      </c>
      <c r="O7" s="172">
        <f>IF(I7=Year_Open_to_Traffic?,Calculations!$E$50,Calculations!O6+(Calculations!O6*Calculations!$L7*N7))</f>
        <v>0</v>
      </c>
      <c r="P7" s="169">
        <f t="shared" si="0"/>
        <v>0</v>
      </c>
      <c r="Q7" s="172">
        <f>IF(I7=Year_Open_to_Traffic?,$E$51,Calculations!Q6+(Calculations!Q6*Calculations!$L7*R7))</f>
        <v>0</v>
      </c>
      <c r="R7" s="169">
        <f t="shared" si="1"/>
        <v>0</v>
      </c>
      <c r="S7" s="172">
        <f>IF($I7=Year_Open_to_Traffic?,$E$52,Calculations!S6+(Calculations!S6*Calculations!$L7*T7))</f>
        <v>0</v>
      </c>
      <c r="T7" s="169">
        <f t="shared" si="2"/>
        <v>0</v>
      </c>
      <c r="U7" s="172">
        <f>IF($I7=Year_Open_to_Traffic?,$E$53,Calculations!U6+(Calculations!U6*Calculations!$L7*V7))</f>
        <v>0</v>
      </c>
      <c r="V7" s="169">
        <f t="shared" si="3"/>
        <v>0</v>
      </c>
      <c r="W7" s="172">
        <f t="shared" si="8"/>
        <v>0</v>
      </c>
      <c r="X7" s="173">
        <f>W7/(1+Real_Discount_Rate)^(Calculations!I7-'Assumed Values'!$C$5)</f>
        <v>0</v>
      </c>
      <c r="Y7" s="77"/>
    </row>
    <row r="8" spans="1:25" ht="30" customHeight="1" x14ac:dyDescent="0.3">
      <c r="A8" s="165" t="s">
        <v>399</v>
      </c>
      <c r="B8" s="165">
        <f>'Inputs &amp; Outputs'!$C$36</f>
        <v>2</v>
      </c>
      <c r="C8" s="161"/>
      <c r="D8" s="237"/>
      <c r="E8" s="233" t="s">
        <v>341</v>
      </c>
      <c r="F8" s="234" t="s">
        <v>338</v>
      </c>
      <c r="G8" s="78"/>
      <c r="H8" s="167"/>
      <c r="I8" s="168">
        <f t="shared" si="4"/>
        <v>2026</v>
      </c>
      <c r="J8" s="175">
        <f t="shared" si="9"/>
        <v>29863.378610070995</v>
      </c>
      <c r="K8" s="175">
        <f t="shared" si="10"/>
        <v>502.64332084129649</v>
      </c>
      <c r="L8" s="176">
        <f t="shared" si="5"/>
        <v>2.3525364251317127E-2</v>
      </c>
      <c r="M8" s="177">
        <f t="shared" si="6"/>
        <v>1</v>
      </c>
      <c r="N8" s="178">
        <f t="shared" si="7"/>
        <v>1</v>
      </c>
      <c r="O8" s="172">
        <f>IF(I8=Year_Open_to_Traffic?,Calculations!$E$50,Calculations!O7+(Calculations!O7*Calculations!$L8*N8))</f>
        <v>0</v>
      </c>
      <c r="P8" s="169">
        <f t="shared" si="0"/>
        <v>0</v>
      </c>
      <c r="Q8" s="172">
        <f>IF(I8=Year_Open_to_Traffic?,$E$51,Calculations!Q7+(Calculations!Q7*Calculations!$L8*R8))</f>
        <v>0</v>
      </c>
      <c r="R8" s="169">
        <f t="shared" si="1"/>
        <v>0</v>
      </c>
      <c r="S8" s="172">
        <f>IF($I8=Year_Open_to_Traffic?,$E$52,Calculations!S7+(Calculations!S7*Calculations!$L8*T8))</f>
        <v>0</v>
      </c>
      <c r="T8" s="169">
        <f t="shared" si="2"/>
        <v>0</v>
      </c>
      <c r="U8" s="172">
        <f>IF($I8=Year_Open_to_Traffic?,$E$53,Calculations!U7+(Calculations!U7*Calculations!$L8*V8))</f>
        <v>0</v>
      </c>
      <c r="V8" s="169">
        <f t="shared" si="3"/>
        <v>0</v>
      </c>
      <c r="W8" s="172">
        <f t="shared" si="8"/>
        <v>0</v>
      </c>
      <c r="X8" s="173">
        <f>W8/(1+Real_Discount_Rate)^(Calculations!I8-'Assumed Values'!$C$5)</f>
        <v>0</v>
      </c>
      <c r="Y8" s="77"/>
    </row>
    <row r="9" spans="1:25" ht="28.8" x14ac:dyDescent="0.3">
      <c r="A9" s="179" t="s">
        <v>239</v>
      </c>
      <c r="B9" s="165">
        <v>365</v>
      </c>
      <c r="C9" s="161"/>
      <c r="D9" s="237"/>
      <c r="E9" s="233"/>
      <c r="F9" s="235"/>
      <c r="G9" s="78"/>
      <c r="H9" s="167"/>
      <c r="I9" s="174">
        <f t="shared" si="4"/>
        <v>2027</v>
      </c>
      <c r="J9" s="175">
        <f t="shared" si="9"/>
        <v>30565.925469647907</v>
      </c>
      <c r="K9" s="175">
        <f t="shared" si="10"/>
        <v>514.46818805257965</v>
      </c>
      <c r="L9" s="176">
        <f t="shared" si="5"/>
        <v>2.3525364251317127E-2</v>
      </c>
      <c r="M9" s="177">
        <f t="shared" si="6"/>
        <v>1</v>
      </c>
      <c r="N9" s="178">
        <f t="shared" si="7"/>
        <v>1</v>
      </c>
      <c r="O9" s="172">
        <f>IF(I9=Year_Open_to_Traffic?,Calculations!$E$50,Calculations!O8+(Calculations!O8*Calculations!$L9*N9))</f>
        <v>1188789.7598397706</v>
      </c>
      <c r="P9" s="169">
        <f t="shared" si="0"/>
        <v>1</v>
      </c>
      <c r="Q9" s="172">
        <f>IF(I9=Year_Open_to_Traffic?,$E$51,Calculations!Q8+(Calculations!Q8*Calculations!$L9*R9))</f>
        <v>10750038.084781889</v>
      </c>
      <c r="R9" s="169">
        <f t="shared" si="1"/>
        <v>1</v>
      </c>
      <c r="S9" s="172">
        <f>IF($I9=Year_Open_to_Traffic?,$E$52,Calculations!S8+(Calculations!S8*Calculations!$L9*T9))</f>
        <v>581186.10481055453</v>
      </c>
      <c r="T9" s="169">
        <f t="shared" si="2"/>
        <v>1</v>
      </c>
      <c r="U9" s="172">
        <f>IF($I9=Year_Open_to_Traffic?,$E$53,Calculations!U8+(Calculations!U8*Calculations!$L9*V9))</f>
        <v>82858.583894127689</v>
      </c>
      <c r="V9" s="169">
        <f t="shared" si="3"/>
        <v>1</v>
      </c>
      <c r="W9" s="172">
        <f t="shared" si="8"/>
        <v>12602.872533326343</v>
      </c>
      <c r="X9" s="173">
        <f>W9/(1+Real_Discount_Rate)^(Calculations!I9-'Assumed Values'!$C$5)</f>
        <v>10818.728380839197</v>
      </c>
      <c r="Y9" s="77"/>
    </row>
    <row r="10" spans="1:25" ht="15.6" x14ac:dyDescent="0.3">
      <c r="A10" s="161"/>
      <c r="B10" s="161"/>
      <c r="C10" s="161"/>
      <c r="D10" s="237"/>
      <c r="E10" s="233"/>
      <c r="F10" s="236"/>
      <c r="G10" s="78"/>
      <c r="H10" s="167"/>
      <c r="I10" s="168">
        <f t="shared" si="4"/>
        <v>2028</v>
      </c>
      <c r="J10" s="175">
        <f t="shared" si="9"/>
        <v>31284.999999999985</v>
      </c>
      <c r="K10" s="175">
        <f t="shared" si="10"/>
        <v>526.57123957223166</v>
      </c>
      <c r="L10" s="176">
        <f t="shared" si="5"/>
        <v>2.3525364251317127E-2</v>
      </c>
      <c r="M10" s="177">
        <f t="shared" si="6"/>
        <v>1</v>
      </c>
      <c r="N10" s="178">
        <f t="shared" si="7"/>
        <v>1</v>
      </c>
      <c r="O10" s="172">
        <f>IF(I10=Year_Open_to_Traffic?,Calculations!$E$50,Calculations!O9+(Calculations!O9*Calculations!$L10*N10))</f>
        <v>1216756.471958237</v>
      </c>
      <c r="P10" s="169">
        <f t="shared" si="0"/>
        <v>1</v>
      </c>
      <c r="Q10" s="172">
        <f>IF(I10=Year_Open_to_Traffic?,$E$51,Calculations!Q9+(Calculations!Q9*Calculations!$L10*R10))</f>
        <v>11002936.646441914</v>
      </c>
      <c r="R10" s="169">
        <f t="shared" si="1"/>
        <v>1</v>
      </c>
      <c r="S10" s="172">
        <f>IF($I10=Year_Open_to_Traffic?,$E$52,Calculations!S9+(Calculations!S9*Calculations!$L10*T10))</f>
        <v>594858.71962402703</v>
      </c>
      <c r="T10" s="169">
        <f t="shared" si="2"/>
        <v>1</v>
      </c>
      <c r="U10" s="172">
        <f>IF($I10=Year_Open_to_Traffic?,$E$53,Calculations!U9+(Calculations!U9*Calculations!$L10*V10))</f>
        <v>84807.862261585367</v>
      </c>
      <c r="V10" s="169">
        <f t="shared" si="3"/>
        <v>1</v>
      </c>
      <c r="W10" s="172">
        <f t="shared" si="8"/>
        <v>12899.359700285764</v>
      </c>
      <c r="X10" s="173">
        <f>W10/(1+Real_Discount_Rate)^(Calculations!I10-'Assumed Values'!$C$5)</f>
        <v>10740.293798966539</v>
      </c>
      <c r="Y10" s="77"/>
    </row>
    <row r="11" spans="1:25" ht="15.6" x14ac:dyDescent="0.3">
      <c r="A11" s="238" t="s">
        <v>400</v>
      </c>
      <c r="B11" s="238"/>
      <c r="C11" s="161"/>
      <c r="D11" s="180" t="s">
        <v>146</v>
      </c>
      <c r="E11" s="181">
        <f>VLOOKUP('Inputs &amp; Outputs'!$C$19,'Preventable Crash data'!$B$11:$F$16,2,FALSE)</f>
        <v>0</v>
      </c>
      <c r="F11" s="181">
        <f>E11*Appropriate_Crash_Reduction_Factor1</f>
        <v>0</v>
      </c>
      <c r="G11" s="78"/>
      <c r="H11" s="167"/>
      <c r="I11" s="174">
        <f t="shared" si="4"/>
        <v>2029</v>
      </c>
      <c r="J11" s="175">
        <f t="shared" si="9"/>
        <v>32020.99102060244</v>
      </c>
      <c r="K11" s="175">
        <f t="shared" si="10"/>
        <v>538.95901978743598</v>
      </c>
      <c r="L11" s="176">
        <f t="shared" si="5"/>
        <v>2.3525364251317127E-2</v>
      </c>
      <c r="M11" s="177">
        <f t="shared" si="6"/>
        <v>1</v>
      </c>
      <c r="N11" s="178">
        <f t="shared" si="7"/>
        <v>1</v>
      </c>
      <c r="O11" s="172">
        <f>IF(I11=Year_Open_to_Traffic?,Calculations!$E$50,Calculations!O10+(Calculations!O10*Calculations!$L11*N11))</f>
        <v>1245381.111166202</v>
      </c>
      <c r="P11" s="169">
        <f t="shared" si="0"/>
        <v>1</v>
      </c>
      <c r="Q11" s="172">
        <f>IF(I11=Year_Open_to_Traffic?,$E$51,Calculations!Q10+(Calculations!Q10*Calculations!$L11*R11))</f>
        <v>11261784.738883626</v>
      </c>
      <c r="R11" s="169">
        <f t="shared" si="1"/>
        <v>1</v>
      </c>
      <c r="S11" s="172">
        <f>IF($I11=Year_Open_to_Traffic?,$E$52,Calculations!S10+(Calculations!S10*Calculations!$L11*T11))</f>
        <v>608852.9876812544</v>
      </c>
      <c r="T11" s="169">
        <f t="shared" si="2"/>
        <v>1</v>
      </c>
      <c r="U11" s="172">
        <f>IF($I11=Year_Open_to_Traffic?,$E$53,Calculations!U10+(Calculations!U10*Calculations!$L11*V11))</f>
        <v>84807.862261585367</v>
      </c>
      <c r="V11" s="169">
        <f t="shared" si="3"/>
        <v>0</v>
      </c>
      <c r="W11" s="172">
        <f t="shared" si="8"/>
        <v>13116.018837731082</v>
      </c>
      <c r="X11" s="173">
        <f>W11/(1+Real_Discount_Rate)^(Calculations!I11-'Assumed Values'!$C$5)</f>
        <v>10592.326882462843</v>
      </c>
      <c r="Y11" s="77"/>
    </row>
    <row r="12" spans="1:25" ht="15.6" x14ac:dyDescent="0.3">
      <c r="A12" s="165" t="s">
        <v>260</v>
      </c>
      <c r="B12" s="182">
        <f>IF('Growth Rates'!$C$16&lt;&gt;0,'Growth Rates'!$C$16,VLOOKUP('Inputs &amp; Outputs'!$C$6,'Growth Rates'!#REF!,2,FALSE))</f>
        <v>2.3525364251317127E-2</v>
      </c>
      <c r="C12" s="161"/>
      <c r="D12" s="180" t="s">
        <v>207</v>
      </c>
      <c r="E12" s="181">
        <f>VLOOKUP('Inputs &amp; Outputs'!$C$19,'Preventable Crash data'!$B$11:$F$16,3,FALSE)</f>
        <v>0.91977509095586341</v>
      </c>
      <c r="F12" s="181">
        <f>E12*Appropriate_Crash_Reduction_Factor1</f>
        <v>0.41389879093013854</v>
      </c>
      <c r="G12" s="78"/>
      <c r="H12" s="167"/>
      <c r="I12" s="168">
        <f t="shared" si="4"/>
        <v>2030</v>
      </c>
      <c r="J12" s="175">
        <f t="shared" si="9"/>
        <v>32774.296498050266</v>
      </c>
      <c r="K12" s="175">
        <f t="shared" si="10"/>
        <v>551.63822704446829</v>
      </c>
      <c r="L12" s="176">
        <f t="shared" si="5"/>
        <v>2.3525364251317127E-2</v>
      </c>
      <c r="M12" s="177">
        <f t="shared" ref="M12:M37" si="11">M11*(1+IFERROR(_2030_2045_V_C_Growth,_2021_2045_V_C_Growth))</f>
        <v>1</v>
      </c>
      <c r="N12" s="178">
        <f t="shared" si="7"/>
        <v>1</v>
      </c>
      <c r="O12" s="172">
        <f>IF(I12=Year_Open_to_Traffic?,Calculations!$E$50,Calculations!O11+(Calculations!O11*Calculations!$L12*N12))</f>
        <v>1274679.155438097</v>
      </c>
      <c r="P12" s="169">
        <f t="shared" si="0"/>
        <v>1</v>
      </c>
      <c r="Q12" s="172">
        <f>IF(I12=Year_Open_to_Traffic?,$E$51,Calculations!Q11+(Calculations!Q11*Calculations!$L12*R12))</f>
        <v>11526722.326985788</v>
      </c>
      <c r="R12" s="169">
        <f t="shared" si="1"/>
        <v>1</v>
      </c>
      <c r="S12" s="172">
        <f>IF($I12=Year_Open_to_Traffic?,$E$52,Calculations!S11+(Calculations!S11*Calculations!$L12*T12))</f>
        <v>623176.47599195864</v>
      </c>
      <c r="T12" s="169">
        <f t="shared" si="2"/>
        <v>1</v>
      </c>
      <c r="U12" s="172">
        <f>IF($I12=Year_Open_to_Traffic?,$E$53,Calculations!U11+(Calculations!U11*Calculations!$L12*V12))</f>
        <v>84807.862261585367</v>
      </c>
      <c r="V12" s="169">
        <f t="shared" si="3"/>
        <v>0</v>
      </c>
      <c r="W12" s="172">
        <f t="shared" si="8"/>
        <v>13424.577958415843</v>
      </c>
      <c r="X12" s="173">
        <f>W12/(1+Real_Discount_Rate)^(Calculations!I12-'Assumed Values'!$C$5)</f>
        <v>10515.533686364499</v>
      </c>
      <c r="Y12" s="77"/>
    </row>
    <row r="13" spans="1:25" ht="39.6" customHeight="1" x14ac:dyDescent="0.3">
      <c r="A13" s="165" t="s">
        <v>175</v>
      </c>
      <c r="B13" s="182">
        <f>IF('Growth Rates'!$C$16&lt;&gt;0,'Growth Rates'!$C$16,VLOOKUP('Inputs &amp; Outputs'!$C$6,'Growth Rates'!B1:D8,3,FALSE))</f>
        <v>2.3525364251317127E-2</v>
      </c>
      <c r="C13" s="161"/>
      <c r="D13" s="180" t="s">
        <v>208</v>
      </c>
      <c r="E13" s="181">
        <f>VLOOKUP('Inputs &amp; Outputs'!$C$19,'Preventable Crash data'!$B$11:$F$16,4,FALSE)</f>
        <v>3.2192128183455218</v>
      </c>
      <c r="F13" s="181">
        <f>E13*Appropriate_Crash_Reduction_Factor1</f>
        <v>1.4486457682554847</v>
      </c>
      <c r="G13" s="78"/>
      <c r="H13" s="167"/>
      <c r="I13" s="174">
        <f t="shared" si="4"/>
        <v>2031</v>
      </c>
      <c r="J13" s="175">
        <f t="shared" si="9"/>
        <v>33545.323761247564</v>
      </c>
      <c r="K13" s="175">
        <f t="shared" si="10"/>
        <v>564.61571727064018</v>
      </c>
      <c r="L13" s="176">
        <f t="shared" ref="L13:L33" si="12">_2030_2045_Demand_Growth</f>
        <v>2.3525364251317127E-2</v>
      </c>
      <c r="M13" s="177">
        <f t="shared" si="11"/>
        <v>1</v>
      </c>
      <c r="N13" s="178">
        <f t="shared" si="7"/>
        <v>1</v>
      </c>
      <c r="O13" s="172">
        <f>IF(I13=Year_Open_to_Traffic?,Calculations!$E$50,Calculations!O12+(Calculations!O12*Calculations!$L13*N13))</f>
        <v>1304666.4468733394</v>
      </c>
      <c r="P13" s="169">
        <f t="shared" si="0"/>
        <v>1</v>
      </c>
      <c r="Q13" s="172">
        <f>IF(I13=Year_Open_to_Traffic?,$E$51,Calculations!Q12+(Calculations!Q12*Calculations!$L13*R13))</f>
        <v>11797892.668351918</v>
      </c>
      <c r="R13" s="169">
        <f t="shared" si="1"/>
        <v>1</v>
      </c>
      <c r="S13" s="172">
        <f>IF($I13=Year_Open_to_Traffic?,$E$52,Calculations!S12+(Calculations!S12*Calculations!$L13*T13))</f>
        <v>637836.92958252167</v>
      </c>
      <c r="T13" s="169">
        <f t="shared" si="2"/>
        <v>1</v>
      </c>
      <c r="U13" s="172">
        <f>IF($I13=Year_Open_to_Traffic?,$E$53,Calculations!U12+(Calculations!U12*Calculations!$L13*V13))</f>
        <v>84807.862261585367</v>
      </c>
      <c r="V13" s="169">
        <f t="shared" si="3"/>
        <v>0</v>
      </c>
      <c r="W13" s="172">
        <f t="shared" si="8"/>
        <v>13740.396044807778</v>
      </c>
      <c r="X13" s="173">
        <f>W13/(1+Real_Discount_Rate)^(Calculations!I13-'Assumed Values'!$C$5)</f>
        <v>10439.297232427954</v>
      </c>
      <c r="Y13" s="77"/>
    </row>
    <row r="14" spans="1:25" ht="15.6" x14ac:dyDescent="0.3">
      <c r="A14" s="183"/>
      <c r="B14" s="184"/>
      <c r="C14" s="161"/>
      <c r="D14" s="180" t="s">
        <v>209</v>
      </c>
      <c r="E14" s="181">
        <f>VLOOKUP('Inputs &amp; Outputs'!$C$19,'Preventable Crash data'!$B$11:$F$16,5,FALSE)</f>
        <v>7.1282569549079415</v>
      </c>
      <c r="F14" s="181">
        <f>Calculations!E14*Appropriate_Crash_Reduction_Factor1</f>
        <v>3.2077156297085736</v>
      </c>
      <c r="G14" s="78"/>
      <c r="H14" s="167"/>
      <c r="I14" s="168">
        <f>I13+1</f>
        <v>2032</v>
      </c>
      <c r="J14" s="175">
        <f t="shared" si="9"/>
        <v>34334.48972165928</v>
      </c>
      <c r="K14" s="175">
        <f t="shared" si="10"/>
        <v>577.89850768145072</v>
      </c>
      <c r="L14" s="176">
        <f t="shared" si="12"/>
        <v>2.3525364251317127E-2</v>
      </c>
      <c r="M14" s="177">
        <f>M13*(1+IFERROR(_2030_2045_V_C_Growth,_2021_2045_V_C_Growth))</f>
        <v>1</v>
      </c>
      <c r="N14" s="178">
        <f t="shared" si="7"/>
        <v>1</v>
      </c>
      <c r="O14" s="172">
        <f>IF(I14=Year_Open_to_Traffic?,Calculations!$E$50,Calculations!O13+(Calculations!O13*Calculations!$L14*N14))</f>
        <v>1335359.2002625063</v>
      </c>
      <c r="P14" s="169">
        <f t="shared" si="0"/>
        <v>1</v>
      </c>
      <c r="Q14" s="172">
        <f>IF(I14=Year_Open_to_Traffic?,$E$51,Calculations!Q13+(Calculations!Q13*Calculations!$L14*R14))</f>
        <v>12075442.390772842</v>
      </c>
      <c r="R14" s="169">
        <f t="shared" si="1"/>
        <v>1</v>
      </c>
      <c r="S14" s="172">
        <f>IF($I14=Year_Open_to_Traffic?,$E$52,Calculations!S13+(Calculations!S13*Calculations!$L14*T14))</f>
        <v>652842.27568389219</v>
      </c>
      <c r="T14" s="169">
        <f t="shared" si="2"/>
        <v>1</v>
      </c>
      <c r="U14" s="172">
        <f>IF($I14=Year_Open_to_Traffic?,$E$53,Calculations!U13+(Calculations!U13*Calculations!$L14*V14))</f>
        <v>84807.862261585367</v>
      </c>
      <c r="V14" s="169">
        <f t="shared" si="3"/>
        <v>0</v>
      </c>
      <c r="W14" s="172">
        <f t="shared" si="8"/>
        <v>14063.64386671924</v>
      </c>
      <c r="X14" s="173">
        <f>W14/(1+Real_Discount_Rate)^(Calculations!I14-'Assumed Values'!$C$5)</f>
        <v>10363.613484334228</v>
      </c>
      <c r="Y14" s="77"/>
    </row>
    <row r="15" spans="1:25" ht="15.6" x14ac:dyDescent="0.3">
      <c r="A15" s="183"/>
      <c r="B15" s="185"/>
      <c r="C15" s="161"/>
      <c r="D15" s="161"/>
      <c r="E15" s="161"/>
      <c r="F15" s="161"/>
      <c r="G15" s="78"/>
      <c r="H15" s="167"/>
      <c r="I15" s="174">
        <f>I14+1</f>
        <v>2033</v>
      </c>
      <c r="J15" s="175">
        <f t="shared" si="9"/>
        <v>35142.22109874442</v>
      </c>
      <c r="K15" s="175">
        <f t="shared" si="10"/>
        <v>591.49378057494948</v>
      </c>
      <c r="L15" s="176">
        <f t="shared" si="12"/>
        <v>2.3525364251317127E-2</v>
      </c>
      <c r="M15" s="177">
        <f>M14*(1+IFERROR(_2030_2045_V_C_Growth,_2021_2045_V_C_Growth))</f>
        <v>1</v>
      </c>
      <c r="N15" s="178">
        <f t="shared" si="7"/>
        <v>1</v>
      </c>
      <c r="O15" s="172">
        <f>IF(I15=Year_Open_to_Traffic?,Calculations!$E$50,Calculations!O14+(Calculations!O14*Calculations!$L15*N15))</f>
        <v>1366774.0118550293</v>
      </c>
      <c r="P15" s="169">
        <f t="shared" si="0"/>
        <v>1</v>
      </c>
      <c r="Q15" s="172">
        <f>IF(I15=Year_Open_to_Traffic?,$E$51,Calculations!Q14+(Calculations!Q14*Calculations!$L15*R15))</f>
        <v>12359521.571511569</v>
      </c>
      <c r="R15" s="169">
        <f t="shared" si="1"/>
        <v>1</v>
      </c>
      <c r="S15" s="172">
        <f>IF($I15=Year_Open_to_Traffic?,$E$52,Calculations!S14+(Calculations!S14*Calculations!$L15*T15))</f>
        <v>668200.6280180146</v>
      </c>
      <c r="T15" s="169">
        <f t="shared" si="2"/>
        <v>1</v>
      </c>
      <c r="U15" s="172">
        <f>IF($I15=Year_Open_to_Traffic?,$E$53,Calculations!U14+(Calculations!U14*Calculations!$L15*V15))</f>
        <v>84807.862261585367</v>
      </c>
      <c r="V15" s="169">
        <f t="shared" si="3"/>
        <v>0</v>
      </c>
      <c r="W15" s="172">
        <f t="shared" si="8"/>
        <v>14394.49621138461</v>
      </c>
      <c r="X15" s="173">
        <f>W15/(1+Real_Discount_Rate)^(Calculations!I15-'Assumed Values'!$C$5)</f>
        <v>10288.478435027209</v>
      </c>
      <c r="Y15" s="77"/>
    </row>
    <row r="16" spans="1:25" ht="15.6" x14ac:dyDescent="0.3">
      <c r="A16" s="183"/>
      <c r="B16" s="186"/>
      <c r="C16" s="161"/>
      <c r="D16" s="187"/>
      <c r="E16" s="188"/>
      <c r="F16" s="187"/>
      <c r="G16" s="78"/>
      <c r="H16" s="167"/>
      <c r="I16" s="168">
        <f t="shared" si="4"/>
        <v>2034</v>
      </c>
      <c r="J16" s="175">
        <f t="shared" si="9"/>
        <v>35968.954650692707</v>
      </c>
      <c r="K16" s="175">
        <f t="shared" si="10"/>
        <v>605.40888721536385</v>
      </c>
      <c r="L16" s="176">
        <f t="shared" si="12"/>
        <v>2.3525364251317127E-2</v>
      </c>
      <c r="M16" s="177">
        <f t="shared" si="11"/>
        <v>1</v>
      </c>
      <c r="N16" s="178">
        <f t="shared" si="7"/>
        <v>1</v>
      </c>
      <c r="O16" s="172">
        <f>IF(I16=Year_Open_to_Traffic?,Calculations!$E$50,Calculations!O15+(Calculations!O15*Calculations!$L16*N16))</f>
        <v>1398927.868333153</v>
      </c>
      <c r="P16" s="169">
        <f t="shared" si="0"/>
        <v>1</v>
      </c>
      <c r="Q16" s="172">
        <f>IF(I16=Year_Open_to_Traffic?,$E$51,Calculations!Q15+(Calculations!Q15*Calculations!$L16*R16))</f>
        <v>12650283.81845339</v>
      </c>
      <c r="R16" s="169">
        <f t="shared" si="1"/>
        <v>1</v>
      </c>
      <c r="S16" s="172">
        <f>IF($I16=Year_Open_to_Traffic?,$E$52,Calculations!S15+(Calculations!S15*Calculations!$L16*T16))</f>
        <v>683920.2911850973</v>
      </c>
      <c r="T16" s="169">
        <f t="shared" si="2"/>
        <v>1</v>
      </c>
      <c r="U16" s="172">
        <f>IF($I16=Year_Open_to_Traffic?,$E$53,Calculations!U15+(Calculations!U15*Calculations!$L16*V16))</f>
        <v>84807.862261585367</v>
      </c>
      <c r="V16" s="169">
        <f t="shared" si="3"/>
        <v>0</v>
      </c>
      <c r="W16" s="172">
        <f t="shared" si="8"/>
        <v>14733.131977971641</v>
      </c>
      <c r="X16" s="173">
        <f>W16/(1+Real_Discount_Rate)^(Calculations!I16-'Assumed Values'!$C$5)</f>
        <v>10213.888106501501</v>
      </c>
      <c r="Y16" s="77"/>
    </row>
    <row r="17" spans="1:25" ht="15.6" x14ac:dyDescent="0.3">
      <c r="A17" s="183"/>
      <c r="B17" s="185"/>
      <c r="C17" s="161"/>
      <c r="D17" s="161"/>
      <c r="E17" s="189"/>
      <c r="F17" s="189"/>
      <c r="G17" s="78"/>
      <c r="H17" s="167"/>
      <c r="I17" s="174">
        <f t="shared" si="4"/>
        <v>2035</v>
      </c>
      <c r="J17" s="175">
        <f t="shared" si="9"/>
        <v>36815.137410589363</v>
      </c>
      <c r="K17" s="175">
        <f t="shared" si="10"/>
        <v>619.65135180808988</v>
      </c>
      <c r="L17" s="176">
        <f t="shared" si="12"/>
        <v>2.3525364251317127E-2</v>
      </c>
      <c r="M17" s="177">
        <f t="shared" si="11"/>
        <v>1</v>
      </c>
      <c r="N17" s="178">
        <f t="shared" si="7"/>
        <v>1</v>
      </c>
      <c r="O17" s="172">
        <f>IF(I17=Year_Open_to_Traffic?,Calculations!$E$50,Calculations!O16+(Calculations!O16*Calculations!$L17*N17))</f>
        <v>1431838.155997009</v>
      </c>
      <c r="P17" s="169">
        <f t="shared" si="0"/>
        <v>1</v>
      </c>
      <c r="Q17" s="172">
        <f>IF(I17=Year_Open_to_Traffic?,$E$51,Calculations!Q16+(Calculations!Q16*Calculations!$L17*R17))</f>
        <v>12947886.353165049</v>
      </c>
      <c r="R17" s="169">
        <f t="shared" si="1"/>
        <v>1</v>
      </c>
      <c r="S17" s="172">
        <f>IF($I17=Year_Open_to_Traffic?,$E$52,Calculations!S16+(Calculations!S16*Calculations!$L17*T17))</f>
        <v>700009.76515409362</v>
      </c>
      <c r="T17" s="169">
        <f t="shared" si="2"/>
        <v>1</v>
      </c>
      <c r="U17" s="172">
        <f>IF($I17=Year_Open_to_Traffic?,$E$53,Calculations!U16+(Calculations!U16*Calculations!$L17*V17))</f>
        <v>84807.862261585367</v>
      </c>
      <c r="V17" s="169">
        <f t="shared" si="3"/>
        <v>0</v>
      </c>
      <c r="W17" s="172">
        <f t="shared" si="8"/>
        <v>15079.73427431615</v>
      </c>
      <c r="X17" s="173">
        <f>W17/(1+Real_Discount_Rate)^(Calculations!I17-'Assumed Values'!$C$5)</f>
        <v>10139.838549591797</v>
      </c>
      <c r="Y17" s="77"/>
    </row>
    <row r="18" spans="1:25" ht="15.6" x14ac:dyDescent="0.3">
      <c r="A18" s="190"/>
      <c r="B18" s="184"/>
      <c r="C18" s="161"/>
      <c r="D18" s="237"/>
      <c r="E18" s="233" t="s">
        <v>340</v>
      </c>
      <c r="F18" s="233" t="s">
        <v>342</v>
      </c>
      <c r="G18" s="78"/>
      <c r="H18" s="167"/>
      <c r="I18" s="168">
        <f t="shared" si="4"/>
        <v>2036</v>
      </c>
      <c r="J18" s="175">
        <f t="shared" si="9"/>
        <v>37681.226928135773</v>
      </c>
      <c r="K18" s="175">
        <f t="shared" si="10"/>
        <v>634.22887556819626</v>
      </c>
      <c r="L18" s="176">
        <f t="shared" si="12"/>
        <v>2.3525364251317127E-2</v>
      </c>
      <c r="M18" s="177">
        <f t="shared" si="11"/>
        <v>1</v>
      </c>
      <c r="N18" s="178">
        <f t="shared" si="7"/>
        <v>1</v>
      </c>
      <c r="O18" s="172">
        <f>IF(I18=Year_Open_to_Traffic?,Calculations!$E$50,Calculations!O17+(Calculations!O17*Calculations!$L18*N18))</f>
        <v>1465522.6701657728</v>
      </c>
      <c r="P18" s="169">
        <f t="shared" si="0"/>
        <v>1</v>
      </c>
      <c r="Q18" s="172">
        <f>IF(I18=Year_Open_to_Traffic?,$E$51,Calculations!Q17+(Calculations!Q17*Calculations!$L18*R18))</f>
        <v>13252490.095907915</v>
      </c>
      <c r="R18" s="169">
        <f t="shared" si="1"/>
        <v>1</v>
      </c>
      <c r="S18" s="172">
        <f>IF($I18=Year_Open_to_Traffic?,$E$52,Calculations!S17+(Calculations!S17*Calculations!$L18*T18))</f>
        <v>716477.74985882267</v>
      </c>
      <c r="T18" s="169">
        <f t="shared" si="2"/>
        <v>1</v>
      </c>
      <c r="U18" s="172">
        <f>IF($I18=Year_Open_to_Traffic?,$E$53,Calculations!U17+(Calculations!U17*Calculations!$L18*V18))</f>
        <v>84807.862261585367</v>
      </c>
      <c r="V18" s="169">
        <f t="shared" si="3"/>
        <v>0</v>
      </c>
      <c r="W18" s="172">
        <f t="shared" si="8"/>
        <v>15434.490515932512</v>
      </c>
      <c r="X18" s="173">
        <f>W18/(1+Real_Discount_Rate)^(Calculations!I18-'Assumed Values'!$C$5)</f>
        <v>10066.325843763818</v>
      </c>
      <c r="Y18" s="77"/>
    </row>
    <row r="19" spans="1:25" ht="15.6" x14ac:dyDescent="0.3">
      <c r="A19" s="161"/>
      <c r="B19" s="184"/>
      <c r="C19" s="161"/>
      <c r="D19" s="237"/>
      <c r="E19" s="233"/>
      <c r="F19" s="233"/>
      <c r="G19" s="78"/>
      <c r="H19" s="167"/>
      <c r="I19" s="174">
        <f t="shared" si="4"/>
        <v>2037</v>
      </c>
      <c r="J19" s="175">
        <f t="shared" si="9"/>
        <v>38567.691517056708</v>
      </c>
      <c r="K19" s="175">
        <f t="shared" si="10"/>
        <v>649.14934088464133</v>
      </c>
      <c r="L19" s="176">
        <f t="shared" si="12"/>
        <v>2.3525364251317127E-2</v>
      </c>
      <c r="M19" s="177">
        <f t="shared" si="11"/>
        <v>1</v>
      </c>
      <c r="N19" s="178">
        <f t="shared" si="7"/>
        <v>1</v>
      </c>
      <c r="O19" s="172">
        <f>IF(I19=Year_Open_to_Traffic?,Calculations!$E$50,Calculations!O18+(Calculations!O18*Calculations!$L19*N19))</f>
        <v>1499999.6247999854</v>
      </c>
      <c r="P19" s="169">
        <f t="shared" si="0"/>
        <v>1</v>
      </c>
      <c r="Q19" s="172">
        <f>IF(I19=Year_Open_to_Traffic?,$E$51,Calculations!Q18+(Calculations!Q18*Calculations!$L19*R19))</f>
        <v>13252490.095907915</v>
      </c>
      <c r="R19" s="169">
        <f t="shared" si="1"/>
        <v>0</v>
      </c>
      <c r="S19" s="172">
        <f>IF($I19=Year_Open_to_Traffic?,$E$52,Calculations!S18+(Calculations!S18*Calculations!$L19*T19))</f>
        <v>733333.14990221558</v>
      </c>
      <c r="T19" s="169">
        <f t="shared" si="2"/>
        <v>1</v>
      </c>
      <c r="U19" s="172">
        <f>IF($I19=Year_Open_to_Traffic?,$E$53,Calculations!U18+(Calculations!U18*Calculations!$L19*V19))</f>
        <v>84807.862261585367</v>
      </c>
      <c r="V19" s="169">
        <f t="shared" si="3"/>
        <v>0</v>
      </c>
      <c r="W19" s="172">
        <f t="shared" si="8"/>
        <v>2233.3327747022013</v>
      </c>
      <c r="X19" s="173">
        <f>W19/(1+Real_Discount_Rate)^(Calculations!I19-'Assumed Values'!$C$5)</f>
        <v>1412.7764929067466</v>
      </c>
      <c r="Y19" s="77"/>
    </row>
    <row r="20" spans="1:25" ht="15.6" x14ac:dyDescent="0.3">
      <c r="A20" s="161"/>
      <c r="B20" s="184"/>
      <c r="C20" s="161"/>
      <c r="D20" s="237"/>
      <c r="E20" s="233"/>
      <c r="F20" s="233"/>
      <c r="G20" s="78"/>
      <c r="H20" s="167"/>
      <c r="I20" s="168">
        <f t="shared" si="4"/>
        <v>2038</v>
      </c>
      <c r="J20" s="175">
        <f t="shared" si="9"/>
        <v>39475.010508327898</v>
      </c>
      <c r="K20" s="175">
        <f t="shared" si="10"/>
        <v>664.42081558245491</v>
      </c>
      <c r="L20" s="176">
        <f t="shared" si="12"/>
        <v>2.3525364251317127E-2</v>
      </c>
      <c r="M20" s="177">
        <f t="shared" si="11"/>
        <v>1</v>
      </c>
      <c r="N20" s="178">
        <f t="shared" si="7"/>
        <v>1</v>
      </c>
      <c r="O20" s="172">
        <f>IF(I20=Year_Open_to_Traffic?,Calculations!$E$50,Calculations!O19+(Calculations!O19*Calculations!$L20*N20))</f>
        <v>1535287.6623502441</v>
      </c>
      <c r="P20" s="169">
        <f t="shared" si="0"/>
        <v>1</v>
      </c>
      <c r="Q20" s="172">
        <f>IF(I20=Year_Open_to_Traffic?,$E$51,Calculations!Q19+(Calculations!Q19*Calculations!$L20*R20))</f>
        <v>13252490.095907915</v>
      </c>
      <c r="R20" s="169">
        <f t="shared" si="1"/>
        <v>0</v>
      </c>
      <c r="S20" s="172">
        <f>IF($I20=Year_Open_to_Traffic?,$E$52,Calculations!S19+(Calculations!S19*Calculations!$L20*T20))</f>
        <v>750585.07937123091</v>
      </c>
      <c r="T20" s="169">
        <f t="shared" si="2"/>
        <v>1</v>
      </c>
      <c r="U20" s="172">
        <f>IF($I20=Year_Open_to_Traffic?,$E$53,Calculations!U19+(Calculations!U19*Calculations!$L20*V20))</f>
        <v>84807.862261585367</v>
      </c>
      <c r="V20" s="169">
        <f t="shared" si="3"/>
        <v>0</v>
      </c>
      <c r="W20" s="172">
        <f t="shared" si="8"/>
        <v>2285.872741721475</v>
      </c>
      <c r="X20" s="173">
        <f>W20/(1+Real_Discount_Rate)^(Calculations!I20-'Assumed Values'!$C$5)</f>
        <v>1402.5340198914412</v>
      </c>
      <c r="Y20" s="77"/>
    </row>
    <row r="21" spans="1:25" ht="28.8" x14ac:dyDescent="0.3">
      <c r="A21" s="162" t="s">
        <v>210</v>
      </c>
      <c r="B21" s="162" t="s">
        <v>513</v>
      </c>
      <c r="C21" s="161"/>
      <c r="D21" s="180" t="s">
        <v>146</v>
      </c>
      <c r="E21" s="181">
        <f>IF('Inputs &amp; Outputs'!$C$24='Inputs &amp; Outputs'!$C$19,$E$11-$F$11,VLOOKUP('Inputs &amp; Outputs'!$C$24,'Preventable Crash data'!$B$11:$F$16,2,FALSE))</f>
        <v>2.2994377273896585</v>
      </c>
      <c r="F21" s="181">
        <f>E21*Appropriate_Crash_Reduction_Factor2</f>
        <v>0.80480320458638044</v>
      </c>
      <c r="G21" s="78"/>
      <c r="H21" s="167"/>
      <c r="I21" s="174">
        <f>I20+1</f>
        <v>2039</v>
      </c>
      <c r="J21" s="175">
        <f t="shared" si="9"/>
        <v>40403.674509360884</v>
      </c>
      <c r="K21" s="175">
        <f t="shared" si="10"/>
        <v>680.05155728518935</v>
      </c>
      <c r="L21" s="176">
        <f t="shared" si="12"/>
        <v>2.3525364251317127E-2</v>
      </c>
      <c r="M21" s="177">
        <f>M20*(1+IFERROR(_2030_2045_V_C_Growth,_2021_2045_V_C_Growth))</f>
        <v>1</v>
      </c>
      <c r="N21" s="178">
        <f t="shared" si="7"/>
        <v>1</v>
      </c>
      <c r="O21" s="172">
        <f>IF(I21=Year_Open_to_Traffic?,Calculations!$E$50,Calculations!O20+(Calculations!O20*Calculations!$L21*N21))</f>
        <v>1571405.8638375867</v>
      </c>
      <c r="P21" s="169">
        <f t="shared" si="0"/>
        <v>1</v>
      </c>
      <c r="Q21" s="172">
        <f>IF(I21=Year_Open_to_Traffic?,$E$51,Calculations!Q20+(Calculations!Q20*Calculations!$L21*R21))</f>
        <v>13252490.095907915</v>
      </c>
      <c r="R21" s="169">
        <f t="shared" si="1"/>
        <v>0</v>
      </c>
      <c r="S21" s="172">
        <f>IF($I21=Year_Open_to_Traffic?,$E$52,Calculations!S20+(Calculations!S20*Calculations!$L21*T21))</f>
        <v>768242.86676504288</v>
      </c>
      <c r="T21" s="169">
        <f t="shared" si="2"/>
        <v>1</v>
      </c>
      <c r="U21" s="172">
        <f>IF($I21=Year_Open_to_Traffic?,$E$53,Calculations!U20+(Calculations!U20*Calculations!$L21*V21))</f>
        <v>84807.862261585367</v>
      </c>
      <c r="V21" s="169">
        <f t="shared" si="3"/>
        <v>0</v>
      </c>
      <c r="W21" s="172">
        <f t="shared" si="8"/>
        <v>2339.6487306026293</v>
      </c>
      <c r="X21" s="173">
        <f>W21/(1+Real_Discount_Rate)^(Calculations!I21-'Assumed Values'!$C$5)</f>
        <v>1392.3658036704669</v>
      </c>
      <c r="Y21" s="77"/>
    </row>
    <row r="22" spans="1:25" ht="15.6" x14ac:dyDescent="0.3">
      <c r="A22" s="156" t="s">
        <v>219</v>
      </c>
      <c r="B22" s="191">
        <v>12500000</v>
      </c>
      <c r="C22" s="161"/>
      <c r="D22" s="180" t="s">
        <v>207</v>
      </c>
      <c r="E22" s="181">
        <f>IF('Inputs &amp; Outputs'!$C$24='Inputs &amp; Outputs'!$C$19,$E$12-$F$12,VLOOKUP('Inputs &amp; Outputs'!$C$24,'Preventable Crash data'!$B$11:$F$16,3,FALSE))</f>
        <v>0.22994377273896582</v>
      </c>
      <c r="F22" s="181">
        <f>E22*Appropriate_Crash_Reduction_Factor2</f>
        <v>8.0480320458638038E-2</v>
      </c>
      <c r="G22" s="78"/>
      <c r="H22" s="167"/>
      <c r="I22" s="168">
        <f>I21+1</f>
        <v>2040</v>
      </c>
      <c r="J22" s="175">
        <f t="shared" si="9"/>
        <v>41354.185669285253</v>
      </c>
      <c r="K22" s="175">
        <f t="shared" si="10"/>
        <v>696.0500178799989</v>
      </c>
      <c r="L22" s="176">
        <f t="shared" si="12"/>
        <v>2.3525364251317127E-2</v>
      </c>
      <c r="M22" s="177">
        <f t="shared" si="11"/>
        <v>1</v>
      </c>
      <c r="N22" s="178">
        <f t="shared" si="7"/>
        <v>1</v>
      </c>
      <c r="O22" s="172">
        <f>IF(I22=Year_Open_to_Traffic?,Calculations!$E$50,Calculations!O21+(Calculations!O21*Calculations!$L22*N22))</f>
        <v>1608373.7591710216</v>
      </c>
      <c r="P22" s="169">
        <f t="shared" si="0"/>
        <v>1</v>
      </c>
      <c r="Q22" s="172">
        <f>IF(I22=Year_Open_to_Traffic?,$E$51,Calculations!Q21+(Calculations!Q21*Calculations!$L22*R22))</f>
        <v>13252490.095907915</v>
      </c>
      <c r="R22" s="169">
        <f t="shared" si="1"/>
        <v>0</v>
      </c>
      <c r="S22" s="172">
        <f>IF($I22=Year_Open_to_Traffic?,$E$52,Calculations!S21+(Calculations!S21*Calculations!$L22*T22))</f>
        <v>786316.06003916659</v>
      </c>
      <c r="T22" s="169">
        <f t="shared" si="2"/>
        <v>1</v>
      </c>
      <c r="U22" s="172">
        <f>IF($I22=Year_Open_to_Traffic?,$E$53,Calculations!U21+(Calculations!U21*Calculations!$L22*V22))</f>
        <v>84807.862261585367</v>
      </c>
      <c r="V22" s="169">
        <f t="shared" si="3"/>
        <v>0</v>
      </c>
      <c r="W22" s="172">
        <f t="shared" si="8"/>
        <v>2394.6898192101885</v>
      </c>
      <c r="X22" s="173">
        <f>W22/(1+Real_Discount_Rate)^(Calculations!I22-'Assumed Values'!$C$5)</f>
        <v>1382.2713058902939</v>
      </c>
      <c r="Y22" s="77"/>
    </row>
    <row r="23" spans="1:25" ht="32.4" customHeight="1" x14ac:dyDescent="0.3">
      <c r="A23" s="156" t="s">
        <v>218</v>
      </c>
      <c r="B23" s="191">
        <v>1188200</v>
      </c>
      <c r="C23" s="161"/>
      <c r="D23" s="180" t="s">
        <v>208</v>
      </c>
      <c r="E23" s="181">
        <f>IF('Inputs &amp; Outputs'!$C$24='Inputs &amp; Outputs'!$C$19,$E$13-$F$13,VLOOKUP('Inputs &amp; Outputs'!$C$24,'Preventable Crash data'!$B$11:$F$16,4,FALSE))</f>
        <v>2.7593252728675903</v>
      </c>
      <c r="F23" s="181">
        <f>E23*Appropriate_Crash_Reduction_Factor2</f>
        <v>0.96576384550365657</v>
      </c>
      <c r="G23" s="78"/>
      <c r="H23" s="167"/>
      <c r="I23" s="174">
        <f t="shared" si="4"/>
        <v>2041</v>
      </c>
      <c r="J23" s="175">
        <f t="shared" si="9"/>
        <v>42327.05795047179</v>
      </c>
      <c r="K23" s="175">
        <f t="shared" si="10"/>
        <v>712.42484808776169</v>
      </c>
      <c r="L23" s="176">
        <f t="shared" si="12"/>
        <v>2.3525364251317127E-2</v>
      </c>
      <c r="M23" s="177">
        <f t="shared" si="11"/>
        <v>1</v>
      </c>
      <c r="N23" s="178">
        <f t="shared" si="7"/>
        <v>1</v>
      </c>
      <c r="O23" s="172">
        <f>IF(I23=Year_Open_to_Traffic?,Calculations!$E$50,Calculations!O22+(Calculations!O22*Calculations!$L23*N23))</f>
        <v>1646211.3377077801</v>
      </c>
      <c r="P23" s="169">
        <f t="shared" si="0"/>
        <v>1</v>
      </c>
      <c r="Q23" s="172">
        <f>IF(I23=Year_Open_to_Traffic?,$E$51,Calculations!Q22+(Calculations!Q22*Calculations!$L23*R23))</f>
        <v>13252490.095907915</v>
      </c>
      <c r="R23" s="169">
        <f t="shared" si="1"/>
        <v>0</v>
      </c>
      <c r="S23" s="172">
        <f>IF($I23=Year_Open_to_Traffic?,$E$52,Calculations!S22+(Calculations!S22*Calculations!$L23*T23))</f>
        <v>804814.43176824856</v>
      </c>
      <c r="T23" s="169">
        <f t="shared" si="2"/>
        <v>1</v>
      </c>
      <c r="U23" s="172">
        <f>IF($I23=Year_Open_to_Traffic?,$E$53,Calculations!U22+(Calculations!U22*Calculations!$L23*V23))</f>
        <v>84807.862261585367</v>
      </c>
      <c r="V23" s="169">
        <f t="shared" si="3"/>
        <v>0</v>
      </c>
      <c r="W23" s="172">
        <f t="shared" si="8"/>
        <v>2451.0257694760285</v>
      </c>
      <c r="X23" s="173">
        <f>W23/(1+Real_Discount_Rate)^(Calculations!I23-'Assumed Values'!$C$5)</f>
        <v>1372.2499921003946</v>
      </c>
      <c r="Y23" s="77"/>
    </row>
    <row r="24" spans="1:25" ht="28.8" x14ac:dyDescent="0.3">
      <c r="A24" s="155" t="s">
        <v>227</v>
      </c>
      <c r="B24" s="191">
        <v>233800</v>
      </c>
      <c r="C24" s="161"/>
      <c r="D24" s="180" t="s">
        <v>209</v>
      </c>
      <c r="E24" s="181">
        <f>IF('Inputs &amp; Outputs'!$C$24='Inputs &amp; Outputs'!$C$19,$E$14-$F$14,VLOOKUP('Inputs &amp; Outputs'!$C$24,'Preventable Crash data'!$B$11:$F$16,5,FALSE))</f>
        <v>9.4276946822975987</v>
      </c>
      <c r="F24" s="181">
        <f>Calculations!E24*Appropriate_Crash_Reduction_Factor2</f>
        <v>3.2996931388041593</v>
      </c>
      <c r="G24" s="78"/>
      <c r="H24" s="167"/>
      <c r="I24" s="168">
        <f t="shared" si="4"/>
        <v>2042</v>
      </c>
      <c r="J24" s="175">
        <f t="shared" si="9"/>
        <v>43322.817406443246</v>
      </c>
      <c r="K24" s="175">
        <f t="shared" si="10"/>
        <v>729.18490214071551</v>
      </c>
      <c r="L24" s="176">
        <f t="shared" si="12"/>
        <v>2.3525364251317127E-2</v>
      </c>
      <c r="M24" s="177">
        <f t="shared" si="11"/>
        <v>1</v>
      </c>
      <c r="N24" s="178">
        <f t="shared" si="7"/>
        <v>1</v>
      </c>
      <c r="O24" s="172">
        <f>IF(I24=Year_Open_to_Traffic?,Calculations!$E$50,Calculations!O23+(Calculations!O23*Calculations!$L24*N24))</f>
        <v>1684939.0590620036</v>
      </c>
      <c r="P24" s="169">
        <f t="shared" si="0"/>
        <v>1</v>
      </c>
      <c r="Q24" s="172">
        <f>IF(I24=Year_Open_to_Traffic?,$E$51,Calculations!Q23+(Calculations!Q23*Calculations!$L24*R24))</f>
        <v>13252490.095907915</v>
      </c>
      <c r="R24" s="169">
        <f t="shared" si="1"/>
        <v>0</v>
      </c>
      <c r="S24" s="172">
        <f>IF($I24=Year_Open_to_Traffic?,$E$52,Calculations!S23+(Calculations!S23*Calculations!$L24*T24))</f>
        <v>823747.98443031346</v>
      </c>
      <c r="T24" s="169">
        <f t="shared" si="2"/>
        <v>1</v>
      </c>
      <c r="U24" s="172">
        <f>IF($I24=Year_Open_to_Traffic?,$E$53,Calculations!U23+(Calculations!U23*Calculations!$L24*V24))</f>
        <v>84807.862261585367</v>
      </c>
      <c r="V24" s="169">
        <f t="shared" si="3"/>
        <v>0</v>
      </c>
      <c r="W24" s="172">
        <f t="shared" si="8"/>
        <v>2508.6870434923171</v>
      </c>
      <c r="X24" s="173">
        <f>W24/(1+Real_Discount_Rate)^(Calculations!I24-'Assumed Values'!$C$5)</f>
        <v>1362.3013317249499</v>
      </c>
      <c r="Y24" s="77"/>
    </row>
    <row r="25" spans="1:25" ht="15.6" x14ac:dyDescent="0.3">
      <c r="A25" s="156" t="s">
        <v>217</v>
      </c>
      <c r="B25" s="191">
        <v>111700</v>
      </c>
      <c r="C25" s="161"/>
      <c r="D25" s="192"/>
      <c r="E25" s="192"/>
      <c r="F25" s="192"/>
      <c r="G25" s="78"/>
      <c r="H25" s="167"/>
      <c r="I25" s="174">
        <f t="shared" si="4"/>
        <v>2043</v>
      </c>
      <c r="J25" s="175">
        <f t="shared" si="9"/>
        <v>44342.002466323123</v>
      </c>
      <c r="K25" s="175">
        <f t="shared" si="10"/>
        <v>746.33924257013689</v>
      </c>
      <c r="L25" s="176">
        <f t="shared" si="12"/>
        <v>2.3525364251317127E-2</v>
      </c>
      <c r="M25" s="177">
        <f t="shared" si="11"/>
        <v>1</v>
      </c>
      <c r="N25" s="178">
        <f t="shared" si="7"/>
        <v>1</v>
      </c>
      <c r="O25" s="172">
        <f>IF(I25=Year_Open_to_Traffic?,Calculations!$E$50,Calculations!O24+(Calculations!O24*Calculations!$L25*N25))</f>
        <v>1724577.8641677089</v>
      </c>
      <c r="P25" s="169">
        <f t="shared" si="0"/>
        <v>1</v>
      </c>
      <c r="Q25" s="172">
        <f>IF(I25=Year_Open_to_Traffic?,$E$51,Calculations!Q24+(Calculations!Q24*Calculations!$L25*R25))</f>
        <v>13252490.095907915</v>
      </c>
      <c r="R25" s="169">
        <f t="shared" si="1"/>
        <v>0</v>
      </c>
      <c r="S25" s="172">
        <f>IF($I25=Year_Open_to_Traffic?,$E$52,Calculations!S24+(Calculations!S24*Calculations!$L25*T25))</f>
        <v>843126.95581532491</v>
      </c>
      <c r="T25" s="169">
        <f t="shared" si="2"/>
        <v>1</v>
      </c>
      <c r="U25" s="172">
        <f>IF($I25=Year_Open_to_Traffic?,$E$53,Calculations!U24+(Calculations!U24*Calculations!$L25*V25))</f>
        <v>84807.862261585367</v>
      </c>
      <c r="V25" s="169">
        <f t="shared" si="3"/>
        <v>0</v>
      </c>
      <c r="W25" s="172">
        <f t="shared" si="8"/>
        <v>2567.7048199830338</v>
      </c>
      <c r="X25" s="173">
        <f>W25/(1+Real_Discount_Rate)^(Calculations!I25-'Assumed Values'!$C$5)</f>
        <v>1352.4247980347566</v>
      </c>
      <c r="Y25" s="77"/>
    </row>
    <row r="26" spans="1:25" ht="15.6" x14ac:dyDescent="0.3">
      <c r="A26" s="156" t="s">
        <v>216</v>
      </c>
      <c r="B26" s="191">
        <v>5000</v>
      </c>
      <c r="C26" s="161"/>
      <c r="D26" s="192"/>
      <c r="E26" s="192"/>
      <c r="F26" s="192"/>
      <c r="G26" s="78"/>
      <c r="H26" s="167"/>
      <c r="I26" s="168">
        <f t="shared" si="4"/>
        <v>2044</v>
      </c>
      <c r="J26" s="175">
        <f t="shared" si="9"/>
        <v>45385.164225976179</v>
      </c>
      <c r="K26" s="175">
        <f t="shared" si="10"/>
        <v>763.89714510665146</v>
      </c>
      <c r="L26" s="176">
        <f t="shared" si="12"/>
        <v>2.3525364251317127E-2</v>
      </c>
      <c r="M26" s="177">
        <f t="shared" si="11"/>
        <v>1</v>
      </c>
      <c r="N26" s="178">
        <f t="shared" si="7"/>
        <v>1</v>
      </c>
      <c r="O26" s="172">
        <f>IF(I26=Year_Open_to_Traffic?,Calculations!$E$50,Calculations!O25+(Calculations!O25*Calculations!$L26*N26))</f>
        <v>1765149.1866020127</v>
      </c>
      <c r="P26" s="169">
        <f t="shared" si="0"/>
        <v>1</v>
      </c>
      <c r="Q26" s="172">
        <f>IF(I26=Year_Open_to_Traffic?,$E$51,Calculations!Q25+(Calculations!Q25*Calculations!$L26*R26))</f>
        <v>13252490.095907915</v>
      </c>
      <c r="R26" s="169">
        <f t="shared" si="1"/>
        <v>0</v>
      </c>
      <c r="S26" s="172">
        <f>IF($I26=Year_Open_to_Traffic?,$E$52,Calculations!S25+(Calculations!S25*Calculations!$L26*T26))</f>
        <v>862961.82456098462</v>
      </c>
      <c r="T26" s="169">
        <f t="shared" si="2"/>
        <v>1</v>
      </c>
      <c r="U26" s="172">
        <f>IF($I26=Year_Open_to_Traffic?,$E$53,Calculations!U25+(Calculations!U25*Calculations!$L26*V26))</f>
        <v>84807.862261585367</v>
      </c>
      <c r="V26" s="169">
        <f t="shared" si="3"/>
        <v>0</v>
      </c>
      <c r="W26" s="172">
        <f t="shared" si="8"/>
        <v>2628.1110111629973</v>
      </c>
      <c r="X26" s="173">
        <f>W26/(1+Real_Discount_Rate)^(Calculations!I26-'Assumed Values'!$C$5)</f>
        <v>1342.6198681193387</v>
      </c>
      <c r="Y26" s="77"/>
    </row>
    <row r="27" spans="1:25" ht="15.6" x14ac:dyDescent="0.3">
      <c r="A27" s="77"/>
      <c r="B27" s="77"/>
      <c r="C27" s="77"/>
      <c r="D27" s="77"/>
      <c r="E27" s="77"/>
      <c r="F27" s="77"/>
      <c r="G27" s="193"/>
      <c r="H27" s="167"/>
      <c r="I27" s="174">
        <f t="shared" si="4"/>
        <v>2045</v>
      </c>
      <c r="J27" s="175">
        <f t="shared" si="9"/>
        <v>46452.866745998115</v>
      </c>
      <c r="K27" s="175">
        <f t="shared" si="10"/>
        <v>781.86810369582668</v>
      </c>
      <c r="L27" s="176">
        <f t="shared" si="12"/>
        <v>2.3525364251317127E-2</v>
      </c>
      <c r="M27" s="177">
        <f t="shared" si="11"/>
        <v>1</v>
      </c>
      <c r="N27" s="178">
        <f t="shared" si="7"/>
        <v>1</v>
      </c>
      <c r="O27" s="172">
        <f>IF(I27=Year_Open_to_Traffic?,Calculations!$E$50,Calculations!O26+(Calculations!O26*Calculations!$L27*N27))</f>
        <v>1806674.9641747412</v>
      </c>
      <c r="P27" s="169">
        <f t="shared" si="0"/>
        <v>1</v>
      </c>
      <c r="Q27" s="172">
        <f>IF(I27=Year_Open_to_Traffic?,$E$51,Calculations!Q26+(Calculations!Q26*Calculations!$L27*R27))</f>
        <v>13252490.095907915</v>
      </c>
      <c r="R27" s="169">
        <f t="shared" si="1"/>
        <v>0</v>
      </c>
      <c r="S27" s="172">
        <f>IF($I27=Year_Open_to_Traffic?,$E$52,Calculations!S26+(Calculations!S26*Calculations!$L27*T27))</f>
        <v>883263.31581876299</v>
      </c>
      <c r="T27" s="169">
        <f t="shared" si="2"/>
        <v>1</v>
      </c>
      <c r="U27" s="172">
        <f>IF($I27=Year_Open_to_Traffic?,$E$53,Calculations!U26+(Calculations!U26*Calculations!$L27*V27))</f>
        <v>84807.862261585367</v>
      </c>
      <c r="V27" s="169">
        <f t="shared" si="3"/>
        <v>0</v>
      </c>
      <c r="W27" s="172">
        <f t="shared" si="8"/>
        <v>2689.9382799935042</v>
      </c>
      <c r="X27" s="173">
        <f>W27/(1+Real_Discount_Rate)^(Calculations!I27-'Assumed Values'!$C$5)</f>
        <v>1332.8860228592644</v>
      </c>
      <c r="Y27" s="77"/>
    </row>
    <row r="28" spans="1:25" ht="15.75" customHeight="1" x14ac:dyDescent="0.3">
      <c r="A28" s="77"/>
      <c r="B28" s="77"/>
      <c r="C28" s="77"/>
      <c r="D28" s="237"/>
      <c r="E28" s="233" t="s">
        <v>339</v>
      </c>
      <c r="F28" s="233" t="s">
        <v>343</v>
      </c>
      <c r="G28" s="193"/>
      <c r="H28" s="167"/>
      <c r="I28" s="168">
        <f t="shared" si="4"/>
        <v>2046</v>
      </c>
      <c r="J28" s="175">
        <f t="shared" si="9"/>
        <v>47545.687356715614</v>
      </c>
      <c r="K28" s="175">
        <f t="shared" si="10"/>
        <v>800.26183563175755</v>
      </c>
      <c r="L28" s="176">
        <f t="shared" si="12"/>
        <v>2.3525364251317127E-2</v>
      </c>
      <c r="M28" s="177">
        <f t="shared" si="11"/>
        <v>1</v>
      </c>
      <c r="N28" s="178">
        <f t="shared" si="7"/>
        <v>1</v>
      </c>
      <c r="O28" s="172">
        <f>IF(I28=Year_Open_to_Traffic?,Calculations!$E$50,Calculations!O27+(Calculations!O27*Calculations!$L28*N28))</f>
        <v>1849177.6507906872</v>
      </c>
      <c r="P28" s="169">
        <f t="shared" si="0"/>
        <v>1</v>
      </c>
      <c r="Q28" s="172">
        <f>IF(I28=Year_Open_to_Traffic?,$E$51,Calculations!Q27+(Calculations!Q27*Calculations!$L28*R28))</f>
        <v>13252490.095907915</v>
      </c>
      <c r="R28" s="169">
        <f t="shared" si="1"/>
        <v>0</v>
      </c>
      <c r="S28" s="172">
        <f>IF($I28=Year_Open_to_Traffic?,$E$52,Calculations!S27+(Calculations!S27*Calculations!$L28*T28))</f>
        <v>904042.40705322556</v>
      </c>
      <c r="T28" s="169">
        <f t="shared" si="2"/>
        <v>1</v>
      </c>
      <c r="U28" s="172">
        <f>IF($I28=Year_Open_to_Traffic?,$E$53,Calculations!U27+(Calculations!U27*Calculations!$L28*V28))</f>
        <v>84807.862261585367</v>
      </c>
      <c r="V28" s="169">
        <f t="shared" si="3"/>
        <v>0</v>
      </c>
      <c r="W28" s="172">
        <f t="shared" si="8"/>
        <v>2753.2200578439129</v>
      </c>
      <c r="X28" s="173">
        <f>W28/(1+Real_Discount_Rate)^(Calculations!I28-'Assumed Values'!$C$5)</f>
        <v>1323.2227468986596</v>
      </c>
      <c r="Y28" s="77"/>
    </row>
    <row r="29" spans="1:25" s="85" customFormat="1" ht="15.6" x14ac:dyDescent="0.3">
      <c r="A29" s="81"/>
      <c r="B29" s="81"/>
      <c r="C29" s="81"/>
      <c r="D29" s="237"/>
      <c r="E29" s="233"/>
      <c r="F29" s="233"/>
      <c r="G29" s="194"/>
      <c r="H29" s="195"/>
      <c r="I29" s="196">
        <f t="shared" si="4"/>
        <v>2047</v>
      </c>
      <c r="J29" s="175">
        <f t="shared" si="9"/>
        <v>48664.216970361595</v>
      </c>
      <c r="K29" s="175">
        <f t="shared" si="10"/>
        <v>819.08828681142234</v>
      </c>
      <c r="L29" s="176">
        <f t="shared" si="12"/>
        <v>2.3525364251317127E-2</v>
      </c>
      <c r="M29" s="197">
        <f t="shared" si="11"/>
        <v>1</v>
      </c>
      <c r="N29" s="198">
        <f t="shared" si="7"/>
        <v>1</v>
      </c>
      <c r="O29" s="172">
        <f>IF(I29=Year_Open_to_Traffic?,Calculations!$E$50,Calculations!O28+(Calculations!O28*Calculations!$L29*N29))</f>
        <v>1892680.2285909329</v>
      </c>
      <c r="P29" s="169">
        <f t="shared" si="0"/>
        <v>0</v>
      </c>
      <c r="Q29" s="172">
        <f>IF(I29=Year_Open_to_Traffic?,$E$51,Calculations!Q28+(Calculations!Q28*Calculations!$L29*R29))</f>
        <v>13252490.095907915</v>
      </c>
      <c r="R29" s="169">
        <f>IF(AND($I29&gt;=Year_Open_to_Traffic?,$I29&lt;Year_Open_to_Traffic?+Years_to_include_in_BCA_Analysis2),1,0)</f>
        <v>0</v>
      </c>
      <c r="S29" s="172">
        <f>IF($I29=Year_Open_to_Traffic?,$E$52,Calculations!S28+(Calculations!S28*Calculations!$L29*T29))</f>
        <v>904042.40705322556</v>
      </c>
      <c r="T29" s="169">
        <f t="shared" si="2"/>
        <v>0</v>
      </c>
      <c r="U29" s="172">
        <f>IF($I29=Year_Open_to_Traffic?,$E$53,Calculations!U28+(Calculations!U28*Calculations!$L29*V29))</f>
        <v>84807.862261585367</v>
      </c>
      <c r="V29" s="169">
        <f t="shared" si="3"/>
        <v>0</v>
      </c>
      <c r="W29" s="172">
        <f t="shared" si="8"/>
        <v>0</v>
      </c>
      <c r="X29" s="199">
        <f>W29/(1+Real_Discount_Rate)^(Calculations!I29-'Assumed Values'!$C$5)</f>
        <v>0</v>
      </c>
      <c r="Y29" s="81"/>
    </row>
    <row r="30" spans="1:25" ht="15.6" x14ac:dyDescent="0.3">
      <c r="A30" s="77"/>
      <c r="B30" s="77"/>
      <c r="C30" s="77"/>
      <c r="D30" s="237"/>
      <c r="E30" s="233"/>
      <c r="F30" s="233"/>
      <c r="G30" s="193"/>
      <c r="H30" s="167"/>
      <c r="I30" s="174">
        <f t="shared" si="4"/>
        <v>2048</v>
      </c>
      <c r="J30" s="175">
        <f t="shared" si="9"/>
        <v>49809.060400594477</v>
      </c>
      <c r="K30" s="175">
        <f t="shared" si="10"/>
        <v>838.35763711264838</v>
      </c>
      <c r="L30" s="176">
        <f t="shared" si="12"/>
        <v>2.3525364251317127E-2</v>
      </c>
      <c r="M30" s="177">
        <f t="shared" si="11"/>
        <v>1</v>
      </c>
      <c r="N30" s="178">
        <f t="shared" si="7"/>
        <v>1</v>
      </c>
      <c r="O30" s="172">
        <f>IF(I30=Year_Open_to_Traffic?,Calculations!$E$50,Calculations!O29+(Calculations!O29*Calculations!$L30*N30))</f>
        <v>1937206.2203798008</v>
      </c>
      <c r="P30" s="169">
        <f t="shared" si="0"/>
        <v>0</v>
      </c>
      <c r="Q30" s="172">
        <f>IF(I30=Year_Open_to_Traffic?,$E$51,Calculations!Q29+(Calculations!Q29*Calculations!$L30*R30))</f>
        <v>13252490.095907915</v>
      </c>
      <c r="R30" s="169">
        <f t="shared" si="1"/>
        <v>0</v>
      </c>
      <c r="S30" s="172">
        <f>IF($I30=Year_Open_to_Traffic?,$E$52,Calculations!S29+(Calculations!S29*Calculations!$L30*T30))</f>
        <v>904042.40705322556</v>
      </c>
      <c r="T30" s="169">
        <f t="shared" si="2"/>
        <v>0</v>
      </c>
      <c r="U30" s="172">
        <f>IF($I30=Year_Open_to_Traffic?,$E$53,Calculations!U29+(Calculations!U29*Calculations!$L30*V30))</f>
        <v>84807.862261585367</v>
      </c>
      <c r="V30" s="169">
        <f t="shared" si="3"/>
        <v>0</v>
      </c>
      <c r="W30" s="172">
        <f t="shared" si="8"/>
        <v>0</v>
      </c>
      <c r="X30" s="173">
        <f>W30/(1+Real_Discount_Rate)^(Calculations!I30-'Assumed Values'!$C$5)</f>
        <v>0</v>
      </c>
      <c r="Y30" s="77"/>
    </row>
    <row r="31" spans="1:25" ht="15.6" x14ac:dyDescent="0.3">
      <c r="A31" s="77"/>
      <c r="B31" s="77"/>
      <c r="C31" s="77"/>
      <c r="D31" s="180" t="s">
        <v>146</v>
      </c>
      <c r="E31" s="200">
        <f>IF('Inputs &amp; Outputs'!$C$29='Inputs &amp; Outputs'!$C$24,Calculations!$E$21-Calculations!$F$21,IF('Inputs &amp; Outputs'!$C$29='Inputs &amp; Outputs'!$C$19,Calculations!$E$11-Calculations!$F$11,VLOOKUP('Inputs &amp; Outputs'!$C$29,'Preventable Crash data'!$B$11:$F$16,2,FALSE)))</f>
        <v>0</v>
      </c>
      <c r="F31" s="181">
        <f>E31*Appropriate_Crash_Reduction_Factor3</f>
        <v>0</v>
      </c>
      <c r="G31" s="193"/>
      <c r="H31" s="167"/>
      <c r="I31" s="174">
        <f t="shared" si="4"/>
        <v>2049</v>
      </c>
      <c r="J31" s="175">
        <f t="shared" si="9"/>
        <v>50980.836689534321</v>
      </c>
      <c r="K31" s="175">
        <f t="shared" si="10"/>
        <v>858.08030589859698</v>
      </c>
      <c r="L31" s="176">
        <f t="shared" si="12"/>
        <v>2.3525364251317127E-2</v>
      </c>
      <c r="M31" s="177">
        <f t="shared" si="11"/>
        <v>1</v>
      </c>
      <c r="N31" s="178">
        <f t="shared" si="7"/>
        <v>1</v>
      </c>
      <c r="O31" s="172">
        <f>IF(I31=Year_Open_to_Traffic?,Calculations!$E$50,Calculations!O30+(Calculations!O30*Calculations!$L31*N31))</f>
        <v>1982779.7023441528</v>
      </c>
      <c r="P31" s="169">
        <f t="shared" si="0"/>
        <v>0</v>
      </c>
      <c r="Q31" s="172">
        <f>IF(I31=Year_Open_to_Traffic?,$E$51,Calculations!Q30+(Calculations!Q30*Calculations!$L31*R31))</f>
        <v>13252490.095907915</v>
      </c>
      <c r="R31" s="169">
        <f t="shared" si="1"/>
        <v>0</v>
      </c>
      <c r="S31" s="172">
        <f>IF($I31=Year_Open_to_Traffic?,$E$52,Calculations!S30+(Calculations!S30*Calculations!$L31*T31))</f>
        <v>904042.40705322556</v>
      </c>
      <c r="T31" s="169">
        <f t="shared" si="2"/>
        <v>0</v>
      </c>
      <c r="U31" s="172">
        <f>IF($I31=Year_Open_to_Traffic?,$E$53,Calculations!U30+(Calculations!U30*Calculations!$L31*V31))</f>
        <v>84807.862261585367</v>
      </c>
      <c r="V31" s="169">
        <f t="shared" si="3"/>
        <v>0</v>
      </c>
      <c r="W31" s="172">
        <f t="shared" si="8"/>
        <v>0</v>
      </c>
      <c r="X31" s="173">
        <f>W31/(1+Real_Discount_Rate)^(Calculations!I31-'Assumed Values'!$C$5)</f>
        <v>0</v>
      </c>
      <c r="Y31" s="77"/>
    </row>
    <row r="32" spans="1:25" ht="15.6" x14ac:dyDescent="0.3">
      <c r="A32" s="77"/>
      <c r="B32" s="77"/>
      <c r="C32" s="77"/>
      <c r="D32" s="180" t="s">
        <v>207</v>
      </c>
      <c r="E32" s="200">
        <f>IF('Inputs &amp; Outputs'!$C$29='Inputs &amp; Outputs'!$C$24,Calculations!$E$22-Calculations!$F$22,IF('Inputs &amp; Outputs'!$C$29='Inputs &amp; Outputs'!$C$19,Calculations!$E$12-Calculations!$F$12,VLOOKUP('Inputs &amp; Outputs'!$C$29,'Preventable Crash data'!$B$11:$F$16,3,FALSE)))</f>
        <v>0.50587630002572492</v>
      </c>
      <c r="F32" s="181">
        <f>E32*Appropriate_Crash_Reduction_Factor3</f>
        <v>0.20235052001028997</v>
      </c>
      <c r="G32" s="193"/>
      <c r="H32" s="167"/>
      <c r="I32" s="174">
        <f t="shared" si="4"/>
        <v>2050</v>
      </c>
      <c r="J32" s="175">
        <f t="shared" si="9"/>
        <v>52180.179442492525</v>
      </c>
      <c r="K32" s="175">
        <f t="shared" si="10"/>
        <v>878.26695765174304</v>
      </c>
      <c r="L32" s="176">
        <f t="shared" si="12"/>
        <v>2.3525364251317127E-2</v>
      </c>
      <c r="M32" s="177">
        <f t="shared" si="11"/>
        <v>1</v>
      </c>
      <c r="N32" s="178">
        <f t="shared" si="7"/>
        <v>1</v>
      </c>
      <c r="O32" s="172">
        <f>IF(I32=Year_Open_to_Traffic?,Calculations!$E$50,Calculations!O31+(Calculations!O31*Calculations!$L32*N32))</f>
        <v>2029425.3170719172</v>
      </c>
      <c r="P32" s="169">
        <f t="shared" si="0"/>
        <v>0</v>
      </c>
      <c r="Q32" s="172">
        <f>IF(I32=Year_Open_to_Traffic?,$E$51,Calculations!Q31+(Calculations!Q31*Calculations!$L32*R32))</f>
        <v>13252490.095907915</v>
      </c>
      <c r="R32" s="169">
        <f t="shared" si="1"/>
        <v>0</v>
      </c>
      <c r="S32" s="172">
        <f>IF($I32=Year_Open_to_Traffic?,$E$52,Calculations!S31+(Calculations!S31*Calculations!$L32*T32))</f>
        <v>904042.40705322556</v>
      </c>
      <c r="T32" s="169">
        <f t="shared" si="2"/>
        <v>0</v>
      </c>
      <c r="U32" s="172">
        <f>IF($I32=Year_Open_to_Traffic?,$E$53,Calculations!U31+(Calculations!U31*Calculations!$L32*V32))</f>
        <v>84807.862261585367</v>
      </c>
      <c r="V32" s="169">
        <f t="shared" si="3"/>
        <v>0</v>
      </c>
      <c r="W32" s="172">
        <f t="shared" si="8"/>
        <v>0</v>
      </c>
      <c r="X32" s="173">
        <f>W32/(1+Real_Discount_Rate)^(Calculations!I32-'Assumed Values'!$C$5)</f>
        <v>0</v>
      </c>
      <c r="Y32" s="77"/>
    </row>
    <row r="33" spans="1:25" ht="30" customHeight="1" x14ac:dyDescent="0.3">
      <c r="A33" s="77"/>
      <c r="B33" s="77"/>
      <c r="C33" s="77"/>
      <c r="D33" s="180" t="s">
        <v>208</v>
      </c>
      <c r="E33" s="200">
        <f>IF('Inputs &amp; Outputs'!$C$29='Inputs &amp; Outputs'!$C$24,Calculations!$E$23-Calculations!$F$23,IF('Inputs &amp; Outputs'!$C$29='Inputs &amp; Outputs'!$C$19,Calculations!$E$13-Calculations!$F$13,VLOOKUP('Inputs &amp; Outputs'!$C$29,'Preventable Crash data'!$B$11:$F$16,4,FALSE)))</f>
        <v>1.770567050090037</v>
      </c>
      <c r="F33" s="181">
        <f>E33*Appropriate_Crash_Reduction_Factor3</f>
        <v>0.70822682003601489</v>
      </c>
      <c r="G33" s="193"/>
      <c r="H33" s="167"/>
      <c r="I33" s="174">
        <f t="shared" si="4"/>
        <v>2051</v>
      </c>
      <c r="J33" s="175">
        <f t="shared" si="9"/>
        <v>53407.737170576249</v>
      </c>
      <c r="K33" s="175">
        <f t="shared" si="10"/>
        <v>898.92850774039641</v>
      </c>
      <c r="L33" s="176">
        <f t="shared" si="12"/>
        <v>2.3525364251317127E-2</v>
      </c>
      <c r="M33" s="177">
        <f t="shared" si="11"/>
        <v>1</v>
      </c>
      <c r="N33" s="178">
        <f t="shared" si="7"/>
        <v>1</v>
      </c>
      <c r="O33" s="172">
        <f>IF(I33=Year_Open_to_Traffic?,Calculations!$E$50,Calculations!O32+(Calculations!O32*Calculations!$L33*N33))</f>
        <v>2077168.2868768789</v>
      </c>
      <c r="P33" s="169">
        <f t="shared" si="0"/>
        <v>0</v>
      </c>
      <c r="Q33" s="172">
        <f>IF(I33=Year_Open_to_Traffic?,$E$51,Calculations!Q32+(Calculations!Q32*Calculations!$L33*R33))</f>
        <v>13252490.095907915</v>
      </c>
      <c r="R33" s="169">
        <f t="shared" si="1"/>
        <v>0</v>
      </c>
      <c r="S33" s="172">
        <f>IF($I33=Year_Open_to_Traffic?,$E$52,Calculations!S32+(Calculations!S32*Calculations!$L33*T33))</f>
        <v>904042.40705322556</v>
      </c>
      <c r="T33" s="169">
        <f t="shared" si="2"/>
        <v>0</v>
      </c>
      <c r="U33" s="172">
        <f>IF($I33=Year_Open_to_Traffic?,$E$53,Calculations!U32+(Calculations!U32*Calculations!$L33*V33))</f>
        <v>84807.862261585367</v>
      </c>
      <c r="V33" s="169">
        <f t="shared" si="3"/>
        <v>0</v>
      </c>
      <c r="W33" s="172">
        <f t="shared" si="8"/>
        <v>0</v>
      </c>
      <c r="X33" s="173">
        <f>W33/(1+Real_Discount_Rate)^(Calculations!I33-'Assumed Values'!$C$5)</f>
        <v>0</v>
      </c>
      <c r="Y33" s="77"/>
    </row>
    <row r="34" spans="1:25" ht="15.6" x14ac:dyDescent="0.3">
      <c r="A34" s="78"/>
      <c r="B34" s="78"/>
      <c r="C34" s="78"/>
      <c r="D34" s="180" t="s">
        <v>209</v>
      </c>
      <c r="E34" s="200">
        <f>IF('Inputs &amp; Outputs'!$C$29='Inputs &amp; Outputs'!$C$24,Calculations!$E$24-Calculations!$F$24,IF('Inputs &amp; Outputs'!$C$29='Inputs &amp; Outputs'!$C$19,Calculations!$E$14-Calculations!$F$14,VLOOKUP('Inputs &amp; Outputs'!$C$29,'Preventable Crash data'!$B$11:$F$16,5,FALSE)))</f>
        <v>3.9205413251993679</v>
      </c>
      <c r="F34" s="181">
        <f>E34*Appropriate_Crash_Reduction_Factor3</f>
        <v>1.5682165300797473</v>
      </c>
      <c r="G34" s="78"/>
      <c r="H34" s="167"/>
      <c r="I34" s="174">
        <f t="shared" si="4"/>
        <v>2052</v>
      </c>
      <c r="J34" s="175">
        <f t="shared" si="9"/>
        <v>54664.173641352667</v>
      </c>
      <c r="K34" s="175">
        <f t="shared" si="10"/>
        <v>920.07612832088216</v>
      </c>
      <c r="L34" s="176">
        <f t="shared" ref="L34:L37" si="13">_2030_2045_Demand_Growth</f>
        <v>2.3525364251317127E-2</v>
      </c>
      <c r="M34" s="177">
        <f t="shared" si="11"/>
        <v>1</v>
      </c>
      <c r="N34" s="178">
        <f t="shared" si="7"/>
        <v>1</v>
      </c>
      <c r="O34" s="172">
        <f>IF(I34=Year_Open_to_Traffic?,Calculations!$E$50,Calculations!O33+(Calculations!O33*Calculations!$L34*N34))</f>
        <v>2126034.4274369418</v>
      </c>
      <c r="P34" s="169">
        <f t="shared" si="0"/>
        <v>0</v>
      </c>
      <c r="Q34" s="172">
        <f>IF(I34=Year_Open_to_Traffic?,$E$51,Calculations!Q33+(Calculations!Q33*Calculations!$L34*R34))</f>
        <v>13252490.095907915</v>
      </c>
      <c r="R34" s="169">
        <f t="shared" si="1"/>
        <v>0</v>
      </c>
      <c r="S34" s="172">
        <f>IF($I34=Year_Open_to_Traffic?,$E$52,Calculations!S33+(Calculations!S33*Calculations!$L34*T34))</f>
        <v>904042.40705322556</v>
      </c>
      <c r="T34" s="169">
        <f t="shared" si="2"/>
        <v>0</v>
      </c>
      <c r="U34" s="172">
        <f>IF($I34=Year_Open_to_Traffic?,$E$53,Calculations!U33+(Calculations!U33*Calculations!$L34*V34))</f>
        <v>84807.862261585367</v>
      </c>
      <c r="V34" s="169">
        <f t="shared" si="3"/>
        <v>0</v>
      </c>
      <c r="W34" s="172">
        <f t="shared" si="8"/>
        <v>0</v>
      </c>
      <c r="X34" s="173">
        <f>W34/(1+Real_Discount_Rate)^(Calculations!I34-'Assumed Values'!$C$5)</f>
        <v>0</v>
      </c>
      <c r="Y34" s="77"/>
    </row>
    <row r="35" spans="1:25" ht="15.6" x14ac:dyDescent="0.3">
      <c r="A35" s="78"/>
      <c r="B35" s="78"/>
      <c r="C35" s="78"/>
      <c r="D35" s="78"/>
      <c r="E35" s="78"/>
      <c r="F35" s="78"/>
      <c r="G35" s="78"/>
      <c r="H35" s="167"/>
      <c r="I35" s="174">
        <f t="shared" si="4"/>
        <v>2053</v>
      </c>
      <c r="J35" s="175">
        <f t="shared" si="9"/>
        <v>55950.168237762737</v>
      </c>
      <c r="K35" s="175">
        <f t="shared" si="10"/>
        <v>941.72125437857255</v>
      </c>
      <c r="L35" s="176">
        <f t="shared" si="13"/>
        <v>2.3525364251317127E-2</v>
      </c>
      <c r="M35" s="177">
        <f t="shared" si="11"/>
        <v>1</v>
      </c>
      <c r="N35" s="178">
        <f t="shared" si="7"/>
        <v>1</v>
      </c>
      <c r="O35" s="172">
        <f>IF(I35=Year_Open_to_Traffic?,Calculations!$E$50,Calculations!O34+(Calculations!O34*Calculations!$L35*N35))</f>
        <v>2176050.1617532363</v>
      </c>
      <c r="P35" s="169">
        <f t="shared" si="0"/>
        <v>0</v>
      </c>
      <c r="Q35" s="172">
        <f>IF(I35=Year_Open_to_Traffic?,$E$51,Calculations!Q34+(Calculations!Q34*Calculations!$L35*R35))</f>
        <v>13252490.095907915</v>
      </c>
      <c r="R35" s="169">
        <f t="shared" si="1"/>
        <v>0</v>
      </c>
      <c r="S35" s="172">
        <f>IF($I35=Year_Open_to_Traffic?,$E$52,Calculations!S34+(Calculations!S34*Calculations!$L35*T35))</f>
        <v>904042.40705322556</v>
      </c>
      <c r="T35" s="169">
        <f t="shared" si="2"/>
        <v>0</v>
      </c>
      <c r="U35" s="172">
        <f>IF($I35=Year_Open_to_Traffic?,$E$53,Calculations!U34+(Calculations!U34*Calculations!$L35*V35))</f>
        <v>84807.862261585367</v>
      </c>
      <c r="V35" s="169">
        <f t="shared" si="3"/>
        <v>0</v>
      </c>
      <c r="W35" s="172">
        <f t="shared" si="8"/>
        <v>0</v>
      </c>
      <c r="X35" s="173">
        <f>W35/(1+Real_Discount_Rate)^(Calculations!I35-'Assumed Values'!$C$5)</f>
        <v>0</v>
      </c>
      <c r="Y35" s="77"/>
    </row>
    <row r="36" spans="1:25" ht="15.6" x14ac:dyDescent="0.3">
      <c r="A36" s="78"/>
      <c r="B36" s="78"/>
      <c r="C36" s="78"/>
      <c r="D36" s="78"/>
      <c r="E36" s="78"/>
      <c r="F36" s="201"/>
      <c r="G36" s="78"/>
      <c r="H36" s="167"/>
      <c r="I36" s="174">
        <f t="shared" si="4"/>
        <v>2054</v>
      </c>
      <c r="J36" s="175">
        <f t="shared" si="9"/>
        <v>57266.416325478582</v>
      </c>
      <c r="K36" s="175">
        <f t="shared" si="10"/>
        <v>963.87558991103572</v>
      </c>
      <c r="L36" s="176">
        <f t="shared" si="13"/>
        <v>2.3525364251317127E-2</v>
      </c>
      <c r="M36" s="177">
        <f t="shared" si="11"/>
        <v>1</v>
      </c>
      <c r="N36" s="178">
        <f t="shared" si="7"/>
        <v>1</v>
      </c>
      <c r="O36" s="172">
        <f>IF(I36=Year_Open_to_Traffic?,Calculations!$E$50,Calculations!O35+(Calculations!O35*Calculations!$L36*N36))</f>
        <v>2227242.5344376187</v>
      </c>
      <c r="P36" s="169">
        <f t="shared" si="0"/>
        <v>0</v>
      </c>
      <c r="Q36" s="172">
        <f>IF(I36=Year_Open_to_Traffic?,$E$51,Calculations!Q35+(Calculations!Q35*Calculations!$L36*R36))</f>
        <v>13252490.095907915</v>
      </c>
      <c r="R36" s="169">
        <f t="shared" si="1"/>
        <v>0</v>
      </c>
      <c r="S36" s="172">
        <f>IF($I36=Year_Open_to_Traffic?,$E$52,Calculations!S35+(Calculations!S35*Calculations!$L36*T36))</f>
        <v>904042.40705322556</v>
      </c>
      <c r="T36" s="169">
        <f t="shared" si="2"/>
        <v>0</v>
      </c>
      <c r="U36" s="172">
        <f>IF($I36=Year_Open_to_Traffic?,$E$53,Calculations!U35+(Calculations!U35*Calculations!$L36*V36))</f>
        <v>84807.862261585367</v>
      </c>
      <c r="V36" s="169">
        <f t="shared" si="3"/>
        <v>0</v>
      </c>
      <c r="W36" s="172">
        <f t="shared" si="8"/>
        <v>0</v>
      </c>
      <c r="X36" s="173">
        <f>W36/(1+Real_Discount_Rate)^(Calculations!I36-'Assumed Values'!$C$5)</f>
        <v>0</v>
      </c>
      <c r="Y36" s="77"/>
    </row>
    <row r="37" spans="1:25" x14ac:dyDescent="0.3">
      <c r="A37" s="78"/>
      <c r="B37" s="78"/>
      <c r="C37" s="78"/>
      <c r="D37" s="78"/>
      <c r="E37" s="78"/>
      <c r="F37" s="201"/>
      <c r="G37" s="78"/>
      <c r="H37" s="78"/>
      <c r="I37" s="174">
        <f t="shared" si="4"/>
        <v>2055</v>
      </c>
      <c r="J37" s="175">
        <f t="shared" ref="J37" si="14">J36+J36*L37</f>
        <v>58613.629628903036</v>
      </c>
      <c r="K37" s="175">
        <f t="shared" ref="K37" si="15">K36+K36*L37</f>
        <v>986.55111425664597</v>
      </c>
      <c r="L37" s="176">
        <f t="shared" si="13"/>
        <v>2.3525364251317127E-2</v>
      </c>
      <c r="M37" s="177">
        <f t="shared" si="11"/>
        <v>1</v>
      </c>
      <c r="N37" s="178">
        <f t="shared" ref="N37" si="16">-(ROUNDUP(M37,0)-2)</f>
        <v>1</v>
      </c>
      <c r="O37" s="172">
        <f>IF(I37=Year_Open_to_Traffic?,Calculations!$E$50,Calculations!O36+(Calculations!O36*Calculations!$L37*N37))</f>
        <v>2279639.2263362906</v>
      </c>
      <c r="P37" s="169">
        <f t="shared" si="0"/>
        <v>0</v>
      </c>
      <c r="Q37" s="172">
        <f>IF(I37=Year_Open_to_Traffic?,$E$51,Calculations!Q36+(Calculations!Q36*Calculations!$L37*R37))</f>
        <v>13252490.095907915</v>
      </c>
      <c r="R37" s="169">
        <f t="shared" si="1"/>
        <v>0</v>
      </c>
      <c r="S37" s="172">
        <f>IF($I37=Year_Open_to_Traffic?,$E$52,Calculations!S36+(Calculations!S36*Calculations!$L37*T37))</f>
        <v>904042.40705322556</v>
      </c>
      <c r="T37" s="169">
        <f t="shared" si="2"/>
        <v>0</v>
      </c>
      <c r="U37" s="172">
        <f>IF($I37=Year_Open_to_Traffic?,$E$53,Calculations!U36+(Calculations!U36*Calculations!$L37*V37))</f>
        <v>84807.862261585367</v>
      </c>
      <c r="V37" s="169">
        <f t="shared" si="3"/>
        <v>0</v>
      </c>
      <c r="W37" s="172">
        <f t="shared" ref="W37" si="17">((O37*P37)+(Q37*R37)+(S37*T37)+(U37*V37))/10^3</f>
        <v>0</v>
      </c>
      <c r="X37" s="173">
        <f>W37/(1+Real_Discount_Rate)^(Calculations!I37-'Assumed Values'!$C$5)</f>
        <v>0</v>
      </c>
      <c r="Y37" s="77"/>
    </row>
    <row r="38" spans="1:25" x14ac:dyDescent="0.3">
      <c r="A38" s="77"/>
      <c r="B38" s="77"/>
      <c r="C38" s="77"/>
      <c r="D38" s="237"/>
      <c r="E38" s="233" t="s">
        <v>395</v>
      </c>
      <c r="F38" s="233" t="s">
        <v>394</v>
      </c>
      <c r="G38" s="77"/>
      <c r="H38" s="77"/>
      <c r="I38" s="76"/>
      <c r="J38" s="76"/>
      <c r="K38" s="76"/>
      <c r="L38" s="202"/>
      <c r="M38" s="203"/>
      <c r="N38" s="76"/>
      <c r="O38" s="204"/>
      <c r="P38" s="76"/>
      <c r="Q38" s="76"/>
      <c r="R38" s="76"/>
      <c r="S38" s="76"/>
      <c r="T38" s="76"/>
      <c r="U38" s="76"/>
      <c r="V38" s="76"/>
      <c r="W38" s="204"/>
      <c r="X38" s="173">
        <f>SUM(X4:X37)</f>
        <v>117853.97678237587</v>
      </c>
      <c r="Y38" s="77"/>
    </row>
    <row r="39" spans="1:25" x14ac:dyDescent="0.3">
      <c r="A39" s="77"/>
      <c r="B39" s="77"/>
      <c r="C39" s="77"/>
      <c r="D39" s="237"/>
      <c r="E39" s="233"/>
      <c r="F39" s="233"/>
      <c r="G39" s="77"/>
      <c r="H39" s="77"/>
      <c r="I39" s="77"/>
      <c r="J39" s="77"/>
      <c r="K39" s="77"/>
      <c r="L39" s="205"/>
      <c r="M39" s="206"/>
      <c r="N39" s="77"/>
      <c r="O39" s="77"/>
      <c r="P39" s="77"/>
      <c r="Q39" s="77"/>
      <c r="R39" s="77"/>
      <c r="S39" s="77"/>
      <c r="T39" s="77"/>
      <c r="U39" s="77"/>
      <c r="V39" s="77"/>
      <c r="W39" s="77"/>
      <c r="X39" s="77"/>
      <c r="Y39" s="77"/>
    </row>
    <row r="40" spans="1:25" x14ac:dyDescent="0.3">
      <c r="A40" s="77"/>
      <c r="B40" s="77"/>
      <c r="C40" s="77"/>
      <c r="D40" s="237"/>
      <c r="E40" s="233"/>
      <c r="F40" s="233"/>
      <c r="G40" s="77"/>
      <c r="H40" s="77"/>
      <c r="I40" s="77"/>
      <c r="J40" s="77"/>
      <c r="K40" s="77"/>
      <c r="L40" s="205"/>
      <c r="M40" s="206"/>
      <c r="N40" s="77"/>
      <c r="O40" s="77"/>
      <c r="P40" s="77"/>
      <c r="Q40" s="77"/>
      <c r="R40" s="77"/>
      <c r="S40" s="77"/>
      <c r="T40" s="77"/>
      <c r="U40" s="77"/>
      <c r="V40" s="77"/>
      <c r="W40" s="77"/>
      <c r="X40" s="77"/>
      <c r="Y40" s="77"/>
    </row>
    <row r="41" spans="1:25" x14ac:dyDescent="0.3">
      <c r="D41" s="83" t="s">
        <v>389</v>
      </c>
      <c r="E41" s="86">
        <f>VLOOKUP('Inputs &amp; Outputs'!C34,'Preventable Crash data'!B33:F35,2,FALSE)</f>
        <v>4.4931719480574638E-2</v>
      </c>
      <c r="F41" s="84">
        <f>E41*'Inputs &amp; Outputs'!$C$35</f>
        <v>4.4931719480574639E-3</v>
      </c>
    </row>
    <row r="42" spans="1:25" x14ac:dyDescent="0.3">
      <c r="D42" s="83" t="s">
        <v>391</v>
      </c>
      <c r="E42" s="86">
        <f>VLOOKUP('Inputs &amp; Outputs'!C34,'Preventable Crash data'!B33:F35,3,FALSE)</f>
        <v>0.22465859740287319</v>
      </c>
      <c r="F42" s="84">
        <f>E42*'Inputs &amp; Outputs'!$C$35</f>
        <v>2.2465859740287322E-2</v>
      </c>
    </row>
    <row r="43" spans="1:25" ht="28.8" x14ac:dyDescent="0.3">
      <c r="D43" s="83" t="s">
        <v>390</v>
      </c>
      <c r="E43" s="86">
        <f>VLOOKUP('Inputs &amp; Outputs'!C34,'Preventable Crash data'!B33:F35,4,FALSE)</f>
        <v>0</v>
      </c>
      <c r="F43" s="84">
        <f>E43*'Inputs &amp; Outputs'!$C$35</f>
        <v>0</v>
      </c>
    </row>
    <row r="44" spans="1:25" x14ac:dyDescent="0.3">
      <c r="D44" s="83" t="s">
        <v>392</v>
      </c>
      <c r="E44" s="86">
        <f>VLOOKUP('Inputs &amp; Outputs'!C34,'Preventable Crash data'!B33:F35,5,FALSE)</f>
        <v>0</v>
      </c>
      <c r="F44" s="84">
        <f>E44*'Inputs &amp; Outputs'!$C$35</f>
        <v>0</v>
      </c>
    </row>
    <row r="49" spans="1:6" x14ac:dyDescent="0.3">
      <c r="A49" s="239" t="s">
        <v>144</v>
      </c>
      <c r="B49" s="239"/>
      <c r="C49" s="239"/>
      <c r="D49" s="239"/>
      <c r="E49" s="239"/>
    </row>
    <row r="50" spans="1:6" ht="15" customHeight="1" x14ac:dyDescent="0.3">
      <c r="A50" s="232" t="s">
        <v>344</v>
      </c>
      <c r="B50" s="232"/>
      <c r="C50" s="232"/>
      <c r="D50" s="232"/>
      <c r="E50" s="89">
        <f>(($F$11*$B$22)+($F$12*$B$23)+($F$13*$B$24)+($F$14*$B$25))</f>
        <v>1188789.7598397706</v>
      </c>
      <c r="F50" s="90"/>
    </row>
    <row r="51" spans="1:6" x14ac:dyDescent="0.3">
      <c r="A51" s="232" t="s">
        <v>345</v>
      </c>
      <c r="B51" s="232"/>
      <c r="C51" s="232"/>
      <c r="D51" s="232"/>
      <c r="E51" s="91">
        <f>(($F$21*$B$22)+($F$22*$B$23)+($F$23*$B$24)+($F$24*$B$25))</f>
        <v>10750038.084781889</v>
      </c>
    </row>
    <row r="52" spans="1:6" x14ac:dyDescent="0.3">
      <c r="A52" s="232" t="s">
        <v>346</v>
      </c>
      <c r="B52" s="232"/>
      <c r="C52" s="232"/>
      <c r="D52" s="232"/>
      <c r="E52" s="91">
        <f>(($F$31*$B$22)+($F$32*$B$23)+($F$33*$B$24)+($F$34*$B$25))</f>
        <v>581186.10481055453</v>
      </c>
    </row>
    <row r="53" spans="1:6" x14ac:dyDescent="0.3">
      <c r="A53" s="232" t="s">
        <v>396</v>
      </c>
      <c r="B53" s="232"/>
      <c r="C53" s="232"/>
      <c r="D53" s="232"/>
      <c r="E53" s="91">
        <f>($F$41*$B$22)+($F$42*$B$23)+($F$43*$B$24)+($F$44*$B$25)</f>
        <v>82858.583894127689</v>
      </c>
    </row>
    <row r="54" spans="1:6" x14ac:dyDescent="0.3">
      <c r="A54" s="232" t="s">
        <v>347</v>
      </c>
      <c r="B54" s="232"/>
      <c r="C54" s="232"/>
      <c r="D54" s="232"/>
      <c r="E54" s="91">
        <f>SUM(E50:E53)</f>
        <v>12602872.533326343</v>
      </c>
    </row>
  </sheetData>
  <sheetProtection algorithmName="SHA-512" hashValue="XYvRn71TfccgRH/+BrmYTbVwK3JlKtFeYsb4lufUuWEPrO0cOTiaoMXcVwD7Cob89umjSCUiFfBr5hvx5yyjAg==" saltValue="pkey2r7vu64FmhRTQX3KHA==" spinCount="100000" sheet="1" objects="1" scenarios="1"/>
  <mergeCells count="35">
    <mergeCell ref="A53:D53"/>
    <mergeCell ref="U2:U3"/>
    <mergeCell ref="V2:V3"/>
    <mergeCell ref="A51:D51"/>
    <mergeCell ref="A52:D52"/>
    <mergeCell ref="A54:D54"/>
    <mergeCell ref="E8:E10"/>
    <mergeCell ref="F8:F10"/>
    <mergeCell ref="D8:D10"/>
    <mergeCell ref="A11:B11"/>
    <mergeCell ref="D18:D20"/>
    <mergeCell ref="E18:E20"/>
    <mergeCell ref="F18:F20"/>
    <mergeCell ref="D28:D30"/>
    <mergeCell ref="E28:E30"/>
    <mergeCell ref="F28:F30"/>
    <mergeCell ref="A50:D50"/>
    <mergeCell ref="A49:E49"/>
    <mergeCell ref="D38:D40"/>
    <mergeCell ref="E38:E40"/>
    <mergeCell ref="F38:F40"/>
    <mergeCell ref="I1:X1"/>
    <mergeCell ref="I2:I3"/>
    <mergeCell ref="J2:J3"/>
    <mergeCell ref="L2:L3"/>
    <mergeCell ref="N2:N3"/>
    <mergeCell ref="O2:O3"/>
    <mergeCell ref="P2:P3"/>
    <mergeCell ref="W2:W3"/>
    <mergeCell ref="X2:X3"/>
    <mergeCell ref="Q2:Q3"/>
    <mergeCell ref="R2:R3"/>
    <mergeCell ref="S2:S3"/>
    <mergeCell ref="K2:K3"/>
    <mergeCell ref="T2:T3"/>
  </mergeCells>
  <pageMargins left="0.25" right="0.25" top="0.75" bottom="0.75" header="0.3" footer="0.3"/>
  <pageSetup paperSize="17"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1"/>
    <pageSetUpPr fitToPage="1"/>
  </sheetPr>
  <dimension ref="B2:G49"/>
  <sheetViews>
    <sheetView zoomScale="85" zoomScaleNormal="85" workbookViewId="0">
      <selection activeCell="C8" sqref="C8"/>
    </sheetView>
  </sheetViews>
  <sheetFormatPr defaultRowHeight="14.4" x14ac:dyDescent="0.3"/>
  <cols>
    <col min="1" max="1" width="3.44140625" customWidth="1"/>
    <col min="2" max="2" width="62.44140625" bestFit="1" customWidth="1"/>
    <col min="3" max="3" width="22.6640625" bestFit="1" customWidth="1"/>
    <col min="4" max="4" width="20" bestFit="1" customWidth="1"/>
    <col min="6" max="6" width="16.88671875" customWidth="1"/>
    <col min="7" max="7" width="17.6640625" customWidth="1"/>
  </cols>
  <sheetData>
    <row r="2" spans="2:7" x14ac:dyDescent="0.3">
      <c r="B2" s="1" t="s">
        <v>253</v>
      </c>
    </row>
    <row r="4" spans="2:7" x14ac:dyDescent="0.3">
      <c r="B4" s="1" t="s">
        <v>21</v>
      </c>
      <c r="F4" s="61" t="s">
        <v>245</v>
      </c>
      <c r="G4" s="61" t="s">
        <v>244</v>
      </c>
    </row>
    <row r="5" spans="2:7" x14ac:dyDescent="0.3">
      <c r="B5" s="24" t="s">
        <v>24</v>
      </c>
      <c r="C5" s="24">
        <v>2022</v>
      </c>
      <c r="F5" s="40" t="s">
        <v>246</v>
      </c>
      <c r="G5" s="40" t="s">
        <v>252</v>
      </c>
    </row>
    <row r="6" spans="2:7" x14ac:dyDescent="0.3">
      <c r="B6" s="24" t="s">
        <v>25</v>
      </c>
      <c r="C6" s="39">
        <v>3.1E-2</v>
      </c>
      <c r="F6" s="40" t="s">
        <v>247</v>
      </c>
      <c r="G6" s="40" t="s">
        <v>243</v>
      </c>
    </row>
    <row r="7" spans="2:7" x14ac:dyDescent="0.3">
      <c r="B7" s="22"/>
      <c r="C7" s="48"/>
      <c r="F7" s="40" t="s">
        <v>248</v>
      </c>
    </row>
    <row r="8" spans="2:7" x14ac:dyDescent="0.3">
      <c r="B8" s="22"/>
      <c r="C8" s="49"/>
      <c r="F8" s="40" t="s">
        <v>249</v>
      </c>
    </row>
    <row r="9" spans="2:7" x14ac:dyDescent="0.3">
      <c r="C9" s="23"/>
      <c r="F9" s="40" t="s">
        <v>242</v>
      </c>
    </row>
    <row r="10" spans="2:7" x14ac:dyDescent="0.3">
      <c r="B10" s="1" t="s">
        <v>56</v>
      </c>
      <c r="C10" s="23"/>
      <c r="F10" s="40" t="s">
        <v>250</v>
      </c>
    </row>
    <row r="11" spans="2:7" x14ac:dyDescent="0.3">
      <c r="B11" s="24" t="s">
        <v>515</v>
      </c>
      <c r="C11" s="58">
        <v>12500000</v>
      </c>
      <c r="F11" s="40" t="s">
        <v>254</v>
      </c>
    </row>
    <row r="12" spans="2:7" x14ac:dyDescent="0.3">
      <c r="B12" s="240" t="s">
        <v>57</v>
      </c>
      <c r="C12" s="241"/>
      <c r="F12" s="40" t="s">
        <v>251</v>
      </c>
    </row>
    <row r="14" spans="2:7" hidden="1" x14ac:dyDescent="0.3">
      <c r="B14" s="1" t="s">
        <v>22</v>
      </c>
      <c r="C14" s="23"/>
    </row>
    <row r="15" spans="2:7" hidden="1" x14ac:dyDescent="0.3">
      <c r="B15" s="24" t="s">
        <v>70</v>
      </c>
      <c r="C15" s="26" t="e">
        <f>#REF!</f>
        <v>#REF!</v>
      </c>
    </row>
    <row r="16" spans="2:7" hidden="1" x14ac:dyDescent="0.3">
      <c r="B16" s="40" t="s">
        <v>61</v>
      </c>
      <c r="C16" s="41">
        <v>1.2E-2</v>
      </c>
    </row>
    <row r="17" spans="2:3" hidden="1" x14ac:dyDescent="0.3"/>
    <row r="18" spans="2:3" hidden="1" x14ac:dyDescent="0.3">
      <c r="B18" s="1" t="s">
        <v>23</v>
      </c>
    </row>
    <row r="19" spans="2:3" hidden="1" x14ac:dyDescent="0.3">
      <c r="B19" s="24" t="s">
        <v>68</v>
      </c>
      <c r="C19" s="43" t="e">
        <f>#REF!</f>
        <v>#REF!</v>
      </c>
    </row>
    <row r="20" spans="2:3" hidden="1" x14ac:dyDescent="0.3">
      <c r="B20" s="24" t="s">
        <v>69</v>
      </c>
      <c r="C20" s="43" t="e">
        <f>#REF!</f>
        <v>#REF!</v>
      </c>
    </row>
    <row r="21" spans="2:3" hidden="1" x14ac:dyDescent="0.3">
      <c r="B21" s="24" t="s">
        <v>28</v>
      </c>
      <c r="C21" s="25">
        <f>(0.267383+0.37942)/2</f>
        <v>0.32340150000000001</v>
      </c>
    </row>
    <row r="22" spans="2:3" hidden="1" x14ac:dyDescent="0.3">
      <c r="B22" s="24" t="s">
        <v>29</v>
      </c>
      <c r="C22" s="25">
        <f>(0.183428+0.198698)/2</f>
        <v>0.19106300000000001</v>
      </c>
    </row>
    <row r="23" spans="2:3" ht="72" hidden="1" x14ac:dyDescent="0.3">
      <c r="B23" s="24" t="s">
        <v>26</v>
      </c>
      <c r="C23" s="42" t="s">
        <v>27</v>
      </c>
    </row>
    <row r="24" spans="2:3" hidden="1" x14ac:dyDescent="0.3"/>
    <row r="25" spans="2:3" hidden="1" x14ac:dyDescent="0.3"/>
    <row r="26" spans="2:3" hidden="1" x14ac:dyDescent="0.3"/>
    <row r="27" spans="2:3" hidden="1" x14ac:dyDescent="0.3"/>
    <row r="28" spans="2:3" hidden="1" x14ac:dyDescent="0.3"/>
    <row r="29" spans="2:3" hidden="1" x14ac:dyDescent="0.3"/>
    <row r="30" spans="2:3" hidden="1" x14ac:dyDescent="0.3"/>
    <row r="31" spans="2:3" hidden="1" x14ac:dyDescent="0.3"/>
    <row r="49" spans="4:4" x14ac:dyDescent="0.3">
      <c r="D49" s="50"/>
    </row>
  </sheetData>
  <sheetProtection algorithmName="SHA-512" hashValue="BBEE5I/UKJ1idPaHD6ovVD3yFrMrwa//tkflijlcBrMneO4wClg673e0aT6qLNKVZmz9D6WZyC4PK6t9cw1YgA==" saltValue="Mi2YPEiRTv5fzjXCY0JPJg==" spinCount="100000" sheet="1" objects="1" scenarios="1"/>
  <mergeCells count="1">
    <mergeCell ref="B12:C12"/>
  </mergeCells>
  <hyperlinks>
    <hyperlink ref="C23" r:id="rId1" location="page=80" xr:uid="{00000000-0004-0000-0500-000000000000}"/>
  </hyperlinks>
  <pageMargins left="0.25" right="0.25"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1"/>
  </sheetPr>
  <dimension ref="B2:T39"/>
  <sheetViews>
    <sheetView zoomScale="115" zoomScaleNormal="115" workbookViewId="0">
      <selection activeCell="E5" sqref="E5"/>
    </sheetView>
  </sheetViews>
  <sheetFormatPr defaultRowHeight="14.4" x14ac:dyDescent="0.3"/>
  <cols>
    <col min="2" max="2" width="14" customWidth="1"/>
    <col min="3" max="3" width="25" customWidth="1"/>
    <col min="4" max="4" width="23.44140625" bestFit="1" customWidth="1"/>
    <col min="5" max="5" width="18.6640625" bestFit="1" customWidth="1"/>
    <col min="6" max="6" width="14.109375" bestFit="1" customWidth="1"/>
    <col min="7" max="7" width="13.88671875" customWidth="1"/>
    <col min="8" max="8" width="14.88671875" bestFit="1" customWidth="1"/>
    <col min="9" max="9" width="11" bestFit="1" customWidth="1"/>
    <col min="13" max="13" width="14.5546875" bestFit="1" customWidth="1"/>
  </cols>
  <sheetData>
    <row r="2" spans="2:9" x14ac:dyDescent="0.3">
      <c r="B2" s="2" t="s">
        <v>516</v>
      </c>
    </row>
    <row r="4" spans="2:9" x14ac:dyDescent="0.3">
      <c r="B4" s="243" t="s">
        <v>210</v>
      </c>
      <c r="C4" s="244"/>
      <c r="D4" s="57" t="s">
        <v>513</v>
      </c>
      <c r="E4" s="1"/>
    </row>
    <row r="5" spans="2:9" x14ac:dyDescent="0.3">
      <c r="B5" s="52">
        <v>0</v>
      </c>
      <c r="C5" s="46" t="s">
        <v>211</v>
      </c>
      <c r="D5" s="58">
        <v>5000</v>
      </c>
      <c r="E5" s="45"/>
      <c r="G5" s="44"/>
    </row>
    <row r="6" spans="2:9" x14ac:dyDescent="0.3">
      <c r="B6" s="52" t="s">
        <v>79</v>
      </c>
      <c r="C6" s="46" t="s">
        <v>212</v>
      </c>
      <c r="D6" s="58">
        <v>111700</v>
      </c>
      <c r="E6" s="45"/>
      <c r="G6" s="44"/>
    </row>
    <row r="7" spans="2:9" ht="31.5" customHeight="1" x14ac:dyDescent="0.3">
      <c r="B7" s="52" t="s">
        <v>78</v>
      </c>
      <c r="C7" s="47" t="s">
        <v>213</v>
      </c>
      <c r="D7" s="58">
        <v>233800</v>
      </c>
      <c r="E7" s="45"/>
      <c r="G7" s="44"/>
    </row>
    <row r="8" spans="2:9" x14ac:dyDescent="0.3">
      <c r="B8" s="52" t="s">
        <v>77</v>
      </c>
      <c r="C8" s="46" t="s">
        <v>214</v>
      </c>
      <c r="D8" s="58">
        <v>1188200</v>
      </c>
      <c r="E8" s="45"/>
      <c r="G8" s="44"/>
    </row>
    <row r="9" spans="2:9" x14ac:dyDescent="0.3">
      <c r="B9" s="52" t="s">
        <v>76</v>
      </c>
      <c r="C9" s="46" t="s">
        <v>215</v>
      </c>
      <c r="D9" s="58">
        <v>12500000</v>
      </c>
      <c r="E9" s="45"/>
      <c r="G9" s="44"/>
    </row>
    <row r="11" spans="2:9" x14ac:dyDescent="0.3">
      <c r="B11" s="245" t="s">
        <v>401</v>
      </c>
      <c r="C11" s="246"/>
    </row>
    <row r="12" spans="2:9" x14ac:dyDescent="0.3">
      <c r="B12" s="2"/>
    </row>
    <row r="14" spans="2:9" x14ac:dyDescent="0.3">
      <c r="B14" s="1"/>
      <c r="E14" s="1"/>
      <c r="F14" s="1"/>
      <c r="G14" s="1"/>
      <c r="H14" s="1"/>
    </row>
    <row r="15" spans="2:9" x14ac:dyDescent="0.3">
      <c r="B15" s="1"/>
      <c r="E15" s="54"/>
      <c r="F15" s="54"/>
      <c r="G15" s="54"/>
      <c r="H15" s="54"/>
      <c r="I15" s="55"/>
    </row>
    <row r="16" spans="2:9" x14ac:dyDescent="0.3">
      <c r="B16" s="1"/>
      <c r="E16" s="54"/>
      <c r="F16" s="54"/>
      <c r="G16" s="54"/>
      <c r="H16" s="54"/>
    </row>
    <row r="17" spans="2:8" x14ac:dyDescent="0.3">
      <c r="B17" s="1"/>
      <c r="E17" s="54"/>
      <c r="F17" s="54"/>
      <c r="G17" s="54"/>
      <c r="H17" s="54"/>
    </row>
    <row r="18" spans="2:8" x14ac:dyDescent="0.3">
      <c r="B18" s="1"/>
      <c r="E18" s="54"/>
      <c r="F18" s="54"/>
      <c r="G18" s="54"/>
      <c r="H18" s="54"/>
    </row>
    <row r="19" spans="2:8" x14ac:dyDescent="0.3">
      <c r="B19" s="1"/>
      <c r="E19" s="54"/>
      <c r="F19" s="54"/>
      <c r="G19" s="54"/>
      <c r="H19" s="54"/>
    </row>
    <row r="20" spans="2:8" x14ac:dyDescent="0.3">
      <c r="B20" s="1"/>
      <c r="E20" s="54"/>
      <c r="F20" s="54"/>
      <c r="G20" s="54"/>
      <c r="H20" s="54"/>
    </row>
    <row r="21" spans="2:8" x14ac:dyDescent="0.3">
      <c r="B21" s="1"/>
      <c r="E21" s="54"/>
      <c r="F21" s="54"/>
      <c r="G21" s="54"/>
      <c r="H21" s="54"/>
    </row>
    <row r="22" spans="2:8" x14ac:dyDescent="0.3">
      <c r="B22" s="242"/>
      <c r="C22" s="242"/>
      <c r="D22" s="59"/>
      <c r="E22" s="56"/>
      <c r="F22" s="56"/>
      <c r="G22" s="56"/>
      <c r="H22" s="56"/>
    </row>
    <row r="35" spans="13:20" x14ac:dyDescent="0.3">
      <c r="T35" s="51"/>
    </row>
    <row r="38" spans="13:20" x14ac:dyDescent="0.3">
      <c r="M38" s="44"/>
    </row>
    <row r="39" spans="13:20" x14ac:dyDescent="0.3">
      <c r="M39" s="44"/>
    </row>
  </sheetData>
  <sheetProtection algorithmName="SHA-512" hashValue="z48HPycJOYk/x3gInEvs1JotbYy7YWSCumSPmeT8Ksu2cQh+x7UPR+wTVO7RSNHAJsfRuf8P3LaQLGmZIao4jA==" saltValue="P24xt0C6RsOMzFycfCCXaQ==" spinCount="100000" sheet="1" objects="1" scenarios="1"/>
  <mergeCells count="3">
    <mergeCell ref="B22:C22"/>
    <mergeCell ref="B4:C4"/>
    <mergeCell ref="B11:C11"/>
  </mergeCells>
  <hyperlinks>
    <hyperlink ref="B11" r:id="rId1" xr:uid="{649BD869-26C7-4464-A5DC-4A48963F40D4}"/>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1"/>
  </sheetPr>
  <dimension ref="A1:H84"/>
  <sheetViews>
    <sheetView topLeftCell="A16" workbookViewId="0">
      <selection activeCell="D22" sqref="D22"/>
    </sheetView>
  </sheetViews>
  <sheetFormatPr defaultRowHeight="14.4" x14ac:dyDescent="0.3"/>
  <cols>
    <col min="1" max="1" width="8.88671875" style="207"/>
    <col min="2" max="2" width="51" style="207" customWidth="1"/>
    <col min="3" max="3" width="12.33203125" style="207" customWidth="1"/>
    <col min="4" max="4" width="21.5546875" style="207" bestFit="1" customWidth="1"/>
    <col min="5" max="5" width="10.88671875" style="207" bestFit="1" customWidth="1"/>
    <col min="6" max="6" width="44.5546875" style="208" customWidth="1"/>
    <col min="7" max="7" width="48.6640625" style="209" customWidth="1"/>
    <col min="8" max="16384" width="8.88671875" style="207"/>
  </cols>
  <sheetData>
    <row r="1" spans="1:8" x14ac:dyDescent="0.3">
      <c r="A1" s="78"/>
      <c r="B1" s="78" t="s">
        <v>194</v>
      </c>
      <c r="C1" s="78"/>
      <c r="D1" s="78"/>
      <c r="E1" s="78"/>
      <c r="F1" s="104"/>
      <c r="G1" s="161"/>
      <c r="H1" s="78"/>
    </row>
    <row r="2" spans="1:8" x14ac:dyDescent="0.3">
      <c r="A2" s="78"/>
      <c r="B2" s="78"/>
      <c r="C2" s="78"/>
      <c r="D2" s="78"/>
      <c r="E2" s="78"/>
      <c r="F2" s="104"/>
      <c r="G2" s="161"/>
      <c r="H2" s="78"/>
    </row>
    <row r="3" spans="1:8" x14ac:dyDescent="0.3">
      <c r="A3" s="78"/>
      <c r="B3" s="116" t="s">
        <v>84</v>
      </c>
      <c r="C3" s="116" t="s">
        <v>83</v>
      </c>
      <c r="D3" s="116" t="s">
        <v>85</v>
      </c>
      <c r="E3" s="116" t="s">
        <v>145</v>
      </c>
      <c r="F3" s="117" t="s">
        <v>152</v>
      </c>
      <c r="G3" s="118" t="s">
        <v>195</v>
      </c>
      <c r="H3" s="78"/>
    </row>
    <row r="4" spans="1:8" x14ac:dyDescent="0.3">
      <c r="A4" s="78"/>
      <c r="B4" s="119" t="s">
        <v>449</v>
      </c>
      <c r="C4" s="120">
        <v>0</v>
      </c>
      <c r="D4" s="121">
        <v>0</v>
      </c>
      <c r="E4" s="120">
        <v>0</v>
      </c>
      <c r="F4" s="119" t="s">
        <v>449</v>
      </c>
      <c r="G4" s="119" t="s">
        <v>449</v>
      </c>
      <c r="H4" s="78"/>
    </row>
    <row r="5" spans="1:8" ht="28.8" x14ac:dyDescent="0.3">
      <c r="A5" s="78"/>
      <c r="B5" s="76" t="s">
        <v>127</v>
      </c>
      <c r="C5" s="122">
        <v>101</v>
      </c>
      <c r="D5" s="123">
        <v>0.2</v>
      </c>
      <c r="E5" s="122">
        <v>6</v>
      </c>
      <c r="F5" s="80" t="s">
        <v>231</v>
      </c>
      <c r="G5" s="79" t="s">
        <v>153</v>
      </c>
      <c r="H5" s="78"/>
    </row>
    <row r="6" spans="1:8" x14ac:dyDescent="0.3">
      <c r="A6" s="78"/>
      <c r="B6" s="76" t="s">
        <v>117</v>
      </c>
      <c r="C6" s="122">
        <v>105</v>
      </c>
      <c r="D6" s="124">
        <v>0.14000000000000001</v>
      </c>
      <c r="E6" s="122">
        <v>10</v>
      </c>
      <c r="F6" s="125" t="s">
        <v>154</v>
      </c>
      <c r="G6" s="79" t="s">
        <v>154</v>
      </c>
      <c r="H6" s="78"/>
    </row>
    <row r="7" spans="1:8" ht="28.8" x14ac:dyDescent="0.3">
      <c r="A7" s="78"/>
      <c r="B7" s="76" t="s">
        <v>126</v>
      </c>
      <c r="C7" s="122">
        <v>107</v>
      </c>
      <c r="D7" s="123">
        <v>0.35</v>
      </c>
      <c r="E7" s="122">
        <v>10</v>
      </c>
      <c r="F7" s="80" t="s">
        <v>155</v>
      </c>
      <c r="G7" s="79" t="s">
        <v>156</v>
      </c>
      <c r="H7" s="78"/>
    </row>
    <row r="8" spans="1:8" ht="28.8" x14ac:dyDescent="0.3">
      <c r="A8" s="78"/>
      <c r="B8" s="76" t="s">
        <v>102</v>
      </c>
      <c r="C8" s="122">
        <v>108</v>
      </c>
      <c r="D8" s="123">
        <v>0.24</v>
      </c>
      <c r="E8" s="122">
        <v>10</v>
      </c>
      <c r="F8" s="80" t="s">
        <v>155</v>
      </c>
      <c r="G8" s="79" t="s">
        <v>156</v>
      </c>
      <c r="H8" s="78"/>
    </row>
    <row r="9" spans="1:8" x14ac:dyDescent="0.3">
      <c r="A9" s="78"/>
      <c r="B9" s="76" t="s">
        <v>122</v>
      </c>
      <c r="C9" s="122">
        <v>110</v>
      </c>
      <c r="D9" s="123">
        <v>0.34</v>
      </c>
      <c r="E9" s="122">
        <v>10</v>
      </c>
      <c r="F9" s="125" t="s">
        <v>157</v>
      </c>
      <c r="G9" s="79" t="s">
        <v>157</v>
      </c>
      <c r="H9" s="78"/>
    </row>
    <row r="10" spans="1:8" x14ac:dyDescent="0.3">
      <c r="A10" s="78"/>
      <c r="B10" s="76" t="s">
        <v>128</v>
      </c>
      <c r="C10" s="122">
        <v>111</v>
      </c>
      <c r="D10" s="123">
        <v>0.1</v>
      </c>
      <c r="E10" s="122">
        <v>10</v>
      </c>
      <c r="F10" s="80" t="s">
        <v>155</v>
      </c>
      <c r="G10" s="79" t="s">
        <v>158</v>
      </c>
      <c r="H10" s="78"/>
    </row>
    <row r="11" spans="1:8" x14ac:dyDescent="0.3">
      <c r="A11" s="78"/>
      <c r="B11" s="76" t="s">
        <v>114</v>
      </c>
      <c r="C11" s="122">
        <v>113</v>
      </c>
      <c r="D11" s="124">
        <v>0.12</v>
      </c>
      <c r="E11" s="122">
        <v>2</v>
      </c>
      <c r="F11" s="80" t="s">
        <v>231</v>
      </c>
      <c r="G11" s="79" t="s">
        <v>160</v>
      </c>
      <c r="H11" s="78"/>
    </row>
    <row r="12" spans="1:8" x14ac:dyDescent="0.3">
      <c r="A12" s="78"/>
      <c r="B12" s="76" t="s">
        <v>124</v>
      </c>
      <c r="C12" s="122">
        <v>114</v>
      </c>
      <c r="D12" s="123">
        <v>0.2</v>
      </c>
      <c r="E12" s="122">
        <v>5</v>
      </c>
      <c r="F12" s="80" t="s">
        <v>231</v>
      </c>
      <c r="G12" s="79" t="s">
        <v>158</v>
      </c>
      <c r="H12" s="78"/>
    </row>
    <row r="13" spans="1:8" ht="28.8" x14ac:dyDescent="0.3">
      <c r="A13" s="78"/>
      <c r="B13" s="76" t="s">
        <v>131</v>
      </c>
      <c r="C13" s="122">
        <v>118</v>
      </c>
      <c r="D13" s="123">
        <v>0.25</v>
      </c>
      <c r="E13" s="122">
        <v>10</v>
      </c>
      <c r="F13" s="80" t="s">
        <v>157</v>
      </c>
      <c r="G13" s="79" t="s">
        <v>161</v>
      </c>
      <c r="H13" s="78"/>
    </row>
    <row r="14" spans="1:8" x14ac:dyDescent="0.3">
      <c r="A14" s="78"/>
      <c r="B14" s="79" t="s">
        <v>178</v>
      </c>
      <c r="C14" s="122">
        <v>119</v>
      </c>
      <c r="D14" s="123">
        <v>0.2</v>
      </c>
      <c r="E14" s="122">
        <v>6</v>
      </c>
      <c r="F14" s="80" t="s">
        <v>231</v>
      </c>
      <c r="G14" s="79" t="s">
        <v>162</v>
      </c>
      <c r="H14" s="78"/>
    </row>
    <row r="15" spans="1:8" ht="28.8" x14ac:dyDescent="0.3">
      <c r="A15" s="78"/>
      <c r="B15" s="79" t="s">
        <v>106</v>
      </c>
      <c r="C15" s="122">
        <v>122</v>
      </c>
      <c r="D15" s="123">
        <v>0.1</v>
      </c>
      <c r="E15" s="122">
        <v>10</v>
      </c>
      <c r="F15" s="125" t="s">
        <v>155</v>
      </c>
      <c r="G15" s="79" t="s">
        <v>155</v>
      </c>
      <c r="H15" s="78"/>
    </row>
    <row r="16" spans="1:8" ht="28.8" x14ac:dyDescent="0.3">
      <c r="A16" s="78"/>
      <c r="B16" s="79" t="s">
        <v>105</v>
      </c>
      <c r="C16" s="122">
        <v>123</v>
      </c>
      <c r="D16" s="123">
        <v>0.1</v>
      </c>
      <c r="E16" s="122">
        <v>10</v>
      </c>
      <c r="F16" s="80" t="s">
        <v>231</v>
      </c>
      <c r="G16" s="79" t="s">
        <v>163</v>
      </c>
      <c r="H16" s="78"/>
    </row>
    <row r="17" spans="1:8" ht="28.8" x14ac:dyDescent="0.3">
      <c r="A17" s="78"/>
      <c r="B17" s="79" t="s">
        <v>109</v>
      </c>
      <c r="C17" s="122">
        <v>124</v>
      </c>
      <c r="D17" s="123">
        <v>0.27</v>
      </c>
      <c r="E17" s="122">
        <v>10</v>
      </c>
      <c r="F17" s="125" t="s">
        <v>155</v>
      </c>
      <c r="G17" s="79" t="s">
        <v>155</v>
      </c>
      <c r="H17" s="78"/>
    </row>
    <row r="18" spans="1:8" ht="28.8" x14ac:dyDescent="0.3">
      <c r="A18" s="78"/>
      <c r="B18" s="76" t="s">
        <v>108</v>
      </c>
      <c r="C18" s="122">
        <v>125</v>
      </c>
      <c r="D18" s="124">
        <v>0.15</v>
      </c>
      <c r="E18" s="122">
        <v>10</v>
      </c>
      <c r="F18" s="80" t="s">
        <v>231</v>
      </c>
      <c r="G18" s="79" t="s">
        <v>166</v>
      </c>
      <c r="H18" s="78"/>
    </row>
    <row r="19" spans="1:8" ht="28.8" x14ac:dyDescent="0.3">
      <c r="A19" s="78"/>
      <c r="B19" s="79" t="s">
        <v>111</v>
      </c>
      <c r="C19" s="122">
        <v>128</v>
      </c>
      <c r="D19" s="123">
        <v>0.05</v>
      </c>
      <c r="E19" s="122">
        <v>6</v>
      </c>
      <c r="F19" s="125" t="s">
        <v>155</v>
      </c>
      <c r="G19" s="79" t="s">
        <v>155</v>
      </c>
      <c r="H19" s="78"/>
    </row>
    <row r="20" spans="1:8" ht="28.8" x14ac:dyDescent="0.3">
      <c r="A20" s="78"/>
      <c r="B20" s="79" t="s">
        <v>110</v>
      </c>
      <c r="C20" s="122">
        <v>130</v>
      </c>
      <c r="D20" s="124">
        <v>0.05</v>
      </c>
      <c r="E20" s="122">
        <v>6</v>
      </c>
      <c r="F20" s="80" t="s">
        <v>231</v>
      </c>
      <c r="G20" s="79" t="s">
        <v>163</v>
      </c>
      <c r="H20" s="78"/>
    </row>
    <row r="21" spans="1:8" x14ac:dyDescent="0.3">
      <c r="A21" s="78"/>
      <c r="B21" s="76" t="s">
        <v>100</v>
      </c>
      <c r="C21" s="122">
        <v>131</v>
      </c>
      <c r="D21" s="123">
        <v>0.1</v>
      </c>
      <c r="E21" s="122">
        <v>10</v>
      </c>
      <c r="F21" s="80" t="s">
        <v>157</v>
      </c>
      <c r="G21" s="80" t="s">
        <v>157</v>
      </c>
      <c r="H21" s="78"/>
    </row>
    <row r="22" spans="1:8" x14ac:dyDescent="0.3">
      <c r="A22" s="78"/>
      <c r="B22" s="76" t="s">
        <v>107</v>
      </c>
      <c r="C22" s="122">
        <v>132</v>
      </c>
      <c r="D22" s="123">
        <v>0.1</v>
      </c>
      <c r="E22" s="122">
        <v>10</v>
      </c>
      <c r="F22" s="80" t="s">
        <v>157</v>
      </c>
      <c r="G22" s="80" t="s">
        <v>157</v>
      </c>
      <c r="H22" s="78"/>
    </row>
    <row r="23" spans="1:8" x14ac:dyDescent="0.3">
      <c r="A23" s="78"/>
      <c r="B23" s="76" t="s">
        <v>101</v>
      </c>
      <c r="C23" s="122">
        <v>133</v>
      </c>
      <c r="D23" s="123">
        <v>0.05</v>
      </c>
      <c r="E23" s="122">
        <v>5</v>
      </c>
      <c r="F23" s="80" t="s">
        <v>231</v>
      </c>
      <c r="G23" s="79" t="s">
        <v>158</v>
      </c>
      <c r="H23" s="78"/>
    </row>
    <row r="24" spans="1:8" ht="28.8" x14ac:dyDescent="0.3">
      <c r="A24" s="78"/>
      <c r="B24" s="76" t="s">
        <v>179</v>
      </c>
      <c r="C24" s="122">
        <v>136</v>
      </c>
      <c r="D24" s="123">
        <v>0.35</v>
      </c>
      <c r="E24" s="122">
        <v>5</v>
      </c>
      <c r="F24" s="80" t="s">
        <v>231</v>
      </c>
      <c r="G24" s="79" t="s">
        <v>163</v>
      </c>
      <c r="H24" s="78"/>
    </row>
    <row r="25" spans="1:8" ht="28.8" x14ac:dyDescent="0.3">
      <c r="A25" s="78"/>
      <c r="B25" s="76" t="s">
        <v>180</v>
      </c>
      <c r="C25" s="122">
        <v>137</v>
      </c>
      <c r="D25" s="123">
        <v>0.25</v>
      </c>
      <c r="E25" s="122">
        <v>10</v>
      </c>
      <c r="F25" s="80" t="s">
        <v>231</v>
      </c>
      <c r="G25" s="79" t="s">
        <v>163</v>
      </c>
      <c r="H25" s="78"/>
    </row>
    <row r="26" spans="1:8" ht="28.8" x14ac:dyDescent="0.3">
      <c r="A26" s="78"/>
      <c r="B26" s="76" t="s">
        <v>181</v>
      </c>
      <c r="C26" s="122">
        <v>138</v>
      </c>
      <c r="D26" s="123">
        <v>0.41</v>
      </c>
      <c r="E26" s="122">
        <v>10</v>
      </c>
      <c r="F26" s="125" t="s">
        <v>155</v>
      </c>
      <c r="G26" s="79" t="s">
        <v>183</v>
      </c>
      <c r="H26" s="78"/>
    </row>
    <row r="27" spans="1:8" ht="28.8" x14ac:dyDescent="0.3">
      <c r="A27" s="78"/>
      <c r="B27" s="76" t="s">
        <v>182</v>
      </c>
      <c r="C27" s="122">
        <v>139</v>
      </c>
      <c r="D27" s="123">
        <v>0.12</v>
      </c>
      <c r="E27" s="122">
        <v>7</v>
      </c>
      <c r="F27" s="80" t="s">
        <v>231</v>
      </c>
      <c r="G27" s="79" t="s">
        <v>163</v>
      </c>
      <c r="H27" s="78"/>
    </row>
    <row r="28" spans="1:8" x14ac:dyDescent="0.3">
      <c r="A28" s="78"/>
      <c r="B28" s="76" t="s">
        <v>118</v>
      </c>
      <c r="C28" s="122">
        <v>201</v>
      </c>
      <c r="D28" s="123">
        <v>0.75</v>
      </c>
      <c r="E28" s="122">
        <v>15</v>
      </c>
      <c r="F28" s="80" t="s">
        <v>231</v>
      </c>
      <c r="G28" s="79" t="s">
        <v>162</v>
      </c>
      <c r="H28" s="78"/>
    </row>
    <row r="29" spans="1:8" ht="43.2" x14ac:dyDescent="0.3">
      <c r="A29" s="78"/>
      <c r="B29" s="76" t="s">
        <v>123</v>
      </c>
      <c r="C29" s="122">
        <v>203</v>
      </c>
      <c r="D29" s="123">
        <v>0.25</v>
      </c>
      <c r="E29" s="122">
        <v>20</v>
      </c>
      <c r="F29" s="80" t="s">
        <v>231</v>
      </c>
      <c r="G29" s="79" t="s">
        <v>164</v>
      </c>
      <c r="H29" s="78"/>
    </row>
    <row r="30" spans="1:8" x14ac:dyDescent="0.3">
      <c r="A30" s="78"/>
      <c r="B30" s="79" t="s">
        <v>97</v>
      </c>
      <c r="C30" s="122">
        <v>204</v>
      </c>
      <c r="D30" s="123">
        <v>0.05</v>
      </c>
      <c r="E30" s="122">
        <v>20</v>
      </c>
      <c r="F30" s="80" t="s">
        <v>231</v>
      </c>
      <c r="G30" s="79" t="s">
        <v>159</v>
      </c>
      <c r="H30" s="78"/>
    </row>
    <row r="31" spans="1:8" x14ac:dyDescent="0.3">
      <c r="A31" s="78"/>
      <c r="B31" s="76" t="s">
        <v>135</v>
      </c>
      <c r="C31" s="122">
        <v>209</v>
      </c>
      <c r="D31" s="124">
        <v>0.5</v>
      </c>
      <c r="E31" s="122">
        <v>20</v>
      </c>
      <c r="F31" s="80" t="s">
        <v>231</v>
      </c>
      <c r="G31" s="79" t="s">
        <v>159</v>
      </c>
      <c r="H31" s="78"/>
    </row>
    <row r="32" spans="1:8" x14ac:dyDescent="0.3">
      <c r="A32" s="78"/>
      <c r="B32" s="76" t="s">
        <v>116</v>
      </c>
      <c r="C32" s="122">
        <v>217</v>
      </c>
      <c r="D32" s="123">
        <v>0.6</v>
      </c>
      <c r="E32" s="122">
        <v>10</v>
      </c>
      <c r="F32" s="125" t="s">
        <v>165</v>
      </c>
      <c r="G32" s="79" t="s">
        <v>165</v>
      </c>
      <c r="H32" s="78"/>
    </row>
    <row r="33" spans="1:8" ht="28.8" x14ac:dyDescent="0.3">
      <c r="A33" s="78"/>
      <c r="B33" s="76" t="s">
        <v>136</v>
      </c>
      <c r="C33" s="122">
        <v>218</v>
      </c>
      <c r="D33" s="123">
        <v>0.55000000000000004</v>
      </c>
      <c r="E33" s="122">
        <v>20</v>
      </c>
      <c r="F33" s="80" t="s">
        <v>231</v>
      </c>
      <c r="G33" s="79" t="s">
        <v>163</v>
      </c>
      <c r="H33" s="78"/>
    </row>
    <row r="34" spans="1:8" x14ac:dyDescent="0.3">
      <c r="A34" s="78"/>
      <c r="B34" s="76" t="s">
        <v>132</v>
      </c>
      <c r="C34" s="122">
        <v>303</v>
      </c>
      <c r="D34" s="123">
        <v>0.3</v>
      </c>
      <c r="E34" s="122">
        <v>10</v>
      </c>
      <c r="F34" s="80" t="s">
        <v>231</v>
      </c>
      <c r="G34" s="79" t="s">
        <v>167</v>
      </c>
      <c r="H34" s="78"/>
    </row>
    <row r="35" spans="1:8" x14ac:dyDescent="0.3">
      <c r="A35" s="78"/>
      <c r="B35" s="79" t="s">
        <v>133</v>
      </c>
      <c r="C35" s="122">
        <v>304</v>
      </c>
      <c r="D35" s="123">
        <v>0.49</v>
      </c>
      <c r="E35" s="122">
        <v>15</v>
      </c>
      <c r="F35" s="80" t="s">
        <v>231</v>
      </c>
      <c r="G35" s="79" t="s">
        <v>168</v>
      </c>
      <c r="H35" s="78"/>
    </row>
    <row r="36" spans="1:8" x14ac:dyDescent="0.3">
      <c r="A36" s="78"/>
      <c r="B36" s="76" t="s">
        <v>134</v>
      </c>
      <c r="C36" s="122">
        <v>305</v>
      </c>
      <c r="D36" s="124">
        <v>0.13</v>
      </c>
      <c r="E36" s="122">
        <v>15</v>
      </c>
      <c r="F36" s="125" t="s">
        <v>155</v>
      </c>
      <c r="G36" s="79" t="s">
        <v>255</v>
      </c>
      <c r="H36" s="78"/>
    </row>
    <row r="37" spans="1:8" x14ac:dyDescent="0.3">
      <c r="A37" s="78"/>
      <c r="B37" s="76" t="s">
        <v>185</v>
      </c>
      <c r="C37" s="122">
        <v>306</v>
      </c>
      <c r="D37" s="124">
        <v>0.45</v>
      </c>
      <c r="E37" s="122">
        <v>5</v>
      </c>
      <c r="F37" s="80" t="s">
        <v>231</v>
      </c>
      <c r="G37" s="79" t="s">
        <v>184</v>
      </c>
      <c r="H37" s="78"/>
    </row>
    <row r="38" spans="1:8" x14ac:dyDescent="0.3">
      <c r="A38" s="78"/>
      <c r="B38" s="76" t="s">
        <v>186</v>
      </c>
      <c r="C38" s="122">
        <v>307</v>
      </c>
      <c r="D38" s="124">
        <v>0.2</v>
      </c>
      <c r="E38" s="122">
        <v>5</v>
      </c>
      <c r="F38" s="125" t="s">
        <v>155</v>
      </c>
      <c r="G38" s="79" t="s">
        <v>155</v>
      </c>
      <c r="H38" s="78"/>
    </row>
    <row r="39" spans="1:8" ht="28.8" x14ac:dyDescent="0.3">
      <c r="A39" s="78"/>
      <c r="B39" s="76" t="s">
        <v>120</v>
      </c>
      <c r="C39" s="122">
        <v>401</v>
      </c>
      <c r="D39" s="123">
        <v>0.2</v>
      </c>
      <c r="E39" s="122">
        <v>2</v>
      </c>
      <c r="F39" s="80" t="s">
        <v>231</v>
      </c>
      <c r="G39" s="79" t="s">
        <v>163</v>
      </c>
      <c r="H39" s="78"/>
    </row>
    <row r="40" spans="1:8" x14ac:dyDescent="0.3">
      <c r="A40" s="78"/>
      <c r="B40" s="76" t="s">
        <v>115</v>
      </c>
      <c r="C40" s="122">
        <v>402</v>
      </c>
      <c r="D40" s="123">
        <v>0.25</v>
      </c>
      <c r="E40" s="122">
        <v>2</v>
      </c>
      <c r="F40" s="80" t="s">
        <v>231</v>
      </c>
      <c r="G40" s="79" t="s">
        <v>169</v>
      </c>
      <c r="H40" s="78"/>
    </row>
    <row r="41" spans="1:8" x14ac:dyDescent="0.3">
      <c r="A41" s="78"/>
      <c r="B41" s="79" t="s">
        <v>121</v>
      </c>
      <c r="C41" s="122">
        <v>403</v>
      </c>
      <c r="D41" s="123">
        <v>0.1</v>
      </c>
      <c r="E41" s="122">
        <v>2</v>
      </c>
      <c r="F41" s="125" t="s">
        <v>157</v>
      </c>
      <c r="G41" s="79" t="s">
        <v>157</v>
      </c>
      <c r="H41" s="78"/>
    </row>
    <row r="42" spans="1:8" x14ac:dyDescent="0.3">
      <c r="A42" s="78"/>
      <c r="B42" s="79" t="s">
        <v>112</v>
      </c>
      <c r="C42" s="122">
        <v>404</v>
      </c>
      <c r="D42" s="123">
        <v>0.65</v>
      </c>
      <c r="E42" s="122">
        <v>2</v>
      </c>
      <c r="F42" s="80" t="s">
        <v>231</v>
      </c>
      <c r="G42" s="79" t="s">
        <v>162</v>
      </c>
      <c r="H42" s="78"/>
    </row>
    <row r="43" spans="1:8" x14ac:dyDescent="0.3">
      <c r="A43" s="78"/>
      <c r="B43" s="76" t="s">
        <v>125</v>
      </c>
      <c r="C43" s="122">
        <v>407</v>
      </c>
      <c r="D43" s="124">
        <v>0.65</v>
      </c>
      <c r="E43" s="122">
        <v>10</v>
      </c>
      <c r="F43" s="125" t="s">
        <v>157</v>
      </c>
      <c r="G43" s="79" t="s">
        <v>157</v>
      </c>
      <c r="H43" s="78"/>
    </row>
    <row r="44" spans="1:8" ht="28.8" x14ac:dyDescent="0.3">
      <c r="A44" s="78"/>
      <c r="B44" s="76" t="s">
        <v>137</v>
      </c>
      <c r="C44" s="122">
        <v>502</v>
      </c>
      <c r="D44" s="123">
        <v>0.3</v>
      </c>
      <c r="E44" s="122">
        <v>20</v>
      </c>
      <c r="F44" s="80" t="s">
        <v>231</v>
      </c>
      <c r="G44" s="79" t="s">
        <v>509</v>
      </c>
      <c r="H44" s="78"/>
    </row>
    <row r="45" spans="1:8" x14ac:dyDescent="0.3">
      <c r="A45" s="78"/>
      <c r="B45" s="76" t="s">
        <v>138</v>
      </c>
      <c r="C45" s="122">
        <v>503</v>
      </c>
      <c r="D45" s="123">
        <v>0.25</v>
      </c>
      <c r="E45" s="122">
        <v>20</v>
      </c>
      <c r="F45" s="80" t="s">
        <v>231</v>
      </c>
      <c r="G45" s="79" t="s">
        <v>159</v>
      </c>
      <c r="H45" s="78"/>
    </row>
    <row r="46" spans="1:8" ht="28.8" x14ac:dyDescent="0.3">
      <c r="A46" s="78"/>
      <c r="B46" s="76" t="s">
        <v>92</v>
      </c>
      <c r="C46" s="122">
        <v>504</v>
      </c>
      <c r="D46" s="123">
        <v>0.25</v>
      </c>
      <c r="E46" s="122">
        <v>20</v>
      </c>
      <c r="F46" s="80" t="s">
        <v>231</v>
      </c>
      <c r="G46" s="79" t="s">
        <v>163</v>
      </c>
      <c r="H46" s="78"/>
    </row>
    <row r="47" spans="1:8" ht="28.8" x14ac:dyDescent="0.3">
      <c r="A47" s="78"/>
      <c r="B47" s="79" t="s">
        <v>103</v>
      </c>
      <c r="C47" s="122">
        <v>505</v>
      </c>
      <c r="D47" s="123">
        <v>0.5</v>
      </c>
      <c r="E47" s="122">
        <v>10</v>
      </c>
      <c r="F47" s="80" t="s">
        <v>231</v>
      </c>
      <c r="G47" s="79" t="s">
        <v>163</v>
      </c>
      <c r="H47" s="78"/>
    </row>
    <row r="48" spans="1:8" ht="28.8" x14ac:dyDescent="0.3">
      <c r="A48" s="78"/>
      <c r="B48" s="76" t="s">
        <v>99</v>
      </c>
      <c r="C48" s="122">
        <v>506</v>
      </c>
      <c r="D48" s="124">
        <v>0.55000000000000004</v>
      </c>
      <c r="E48" s="122">
        <v>10</v>
      </c>
      <c r="F48" s="80" t="s">
        <v>231</v>
      </c>
      <c r="G48" s="79" t="s">
        <v>163</v>
      </c>
      <c r="H48" s="78"/>
    </row>
    <row r="49" spans="1:8" ht="28.8" x14ac:dyDescent="0.3">
      <c r="A49" s="78"/>
      <c r="B49" s="79" t="s">
        <v>104</v>
      </c>
      <c r="C49" s="122">
        <v>507</v>
      </c>
      <c r="D49" s="124">
        <v>0.65</v>
      </c>
      <c r="E49" s="122">
        <v>10</v>
      </c>
      <c r="F49" s="80" t="s">
        <v>231</v>
      </c>
      <c r="G49" s="79" t="s">
        <v>163</v>
      </c>
      <c r="H49" s="78"/>
    </row>
    <row r="50" spans="1:8" ht="28.8" x14ac:dyDescent="0.3">
      <c r="A50" s="78"/>
      <c r="B50" s="79" t="s">
        <v>94</v>
      </c>
      <c r="C50" s="122">
        <v>510</v>
      </c>
      <c r="D50" s="124">
        <v>0.4</v>
      </c>
      <c r="E50" s="122">
        <v>10</v>
      </c>
      <c r="F50" s="125" t="s">
        <v>155</v>
      </c>
      <c r="G50" s="79" t="s">
        <v>170</v>
      </c>
      <c r="H50" s="78"/>
    </row>
    <row r="51" spans="1:8" x14ac:dyDescent="0.3">
      <c r="A51" s="78"/>
      <c r="B51" s="76" t="s">
        <v>98</v>
      </c>
      <c r="C51" s="122">
        <v>514</v>
      </c>
      <c r="D51" s="123">
        <v>0.8</v>
      </c>
      <c r="E51" s="122">
        <v>30</v>
      </c>
      <c r="F51" s="125" t="s">
        <v>155</v>
      </c>
      <c r="G51" s="79" t="s">
        <v>155</v>
      </c>
      <c r="H51" s="78"/>
    </row>
    <row r="52" spans="1:8" x14ac:dyDescent="0.3">
      <c r="A52" s="78"/>
      <c r="B52" s="76" t="s">
        <v>90</v>
      </c>
      <c r="C52" s="122">
        <v>515</v>
      </c>
      <c r="D52" s="123">
        <v>0.65</v>
      </c>
      <c r="E52" s="122">
        <v>30</v>
      </c>
      <c r="F52" s="125" t="s">
        <v>155</v>
      </c>
      <c r="G52" s="79" t="s">
        <v>155</v>
      </c>
      <c r="H52" s="78"/>
    </row>
    <row r="53" spans="1:8" ht="28.8" x14ac:dyDescent="0.3">
      <c r="A53" s="78"/>
      <c r="B53" s="79" t="s">
        <v>89</v>
      </c>
      <c r="C53" s="122">
        <v>516</v>
      </c>
      <c r="D53" s="123">
        <v>0.5</v>
      </c>
      <c r="E53" s="122">
        <v>20</v>
      </c>
      <c r="F53" s="80" t="s">
        <v>231</v>
      </c>
      <c r="G53" s="79" t="s">
        <v>171</v>
      </c>
      <c r="H53" s="78"/>
    </row>
    <row r="54" spans="1:8" x14ac:dyDescent="0.3">
      <c r="A54" s="78"/>
      <c r="B54" s="76" t="s">
        <v>88</v>
      </c>
      <c r="C54" s="122">
        <v>517</v>
      </c>
      <c r="D54" s="124">
        <v>0.28000000000000003</v>
      </c>
      <c r="E54" s="122">
        <v>20</v>
      </c>
      <c r="F54" s="80" t="s">
        <v>231</v>
      </c>
      <c r="G54" s="79" t="s">
        <v>162</v>
      </c>
      <c r="H54" s="78"/>
    </row>
    <row r="55" spans="1:8" ht="28.8" x14ac:dyDescent="0.3">
      <c r="A55" s="78"/>
      <c r="B55" s="76" t="s">
        <v>113</v>
      </c>
      <c r="C55" s="122">
        <v>518</v>
      </c>
      <c r="D55" s="123">
        <v>0.5</v>
      </c>
      <c r="E55" s="122">
        <v>10</v>
      </c>
      <c r="F55" s="80" t="s">
        <v>231</v>
      </c>
      <c r="G55" s="79" t="s">
        <v>177</v>
      </c>
      <c r="H55" s="78"/>
    </row>
    <row r="56" spans="1:8" ht="28.8" x14ac:dyDescent="0.3">
      <c r="A56" s="78"/>
      <c r="B56" s="76" t="s">
        <v>86</v>
      </c>
      <c r="C56" s="122">
        <v>519</v>
      </c>
      <c r="D56" s="123">
        <v>0.25</v>
      </c>
      <c r="E56" s="122">
        <v>10</v>
      </c>
      <c r="F56" s="125" t="s">
        <v>155</v>
      </c>
      <c r="G56" s="79" t="s">
        <v>172</v>
      </c>
      <c r="H56" s="78"/>
    </row>
    <row r="57" spans="1:8" ht="28.8" x14ac:dyDescent="0.3">
      <c r="A57" s="78"/>
      <c r="B57" s="76" t="s">
        <v>129</v>
      </c>
      <c r="C57" s="122">
        <v>520</v>
      </c>
      <c r="D57" s="123">
        <v>0.4</v>
      </c>
      <c r="E57" s="122">
        <v>10</v>
      </c>
      <c r="F57" s="125" t="s">
        <v>155</v>
      </c>
      <c r="G57" s="79" t="s">
        <v>172</v>
      </c>
      <c r="H57" s="78"/>
    </row>
    <row r="58" spans="1:8" ht="28.8" x14ac:dyDescent="0.3">
      <c r="A58" s="78"/>
      <c r="B58" s="76" t="s">
        <v>87</v>
      </c>
      <c r="C58" s="122">
        <v>521</v>
      </c>
      <c r="D58" s="123">
        <v>0.25</v>
      </c>
      <c r="E58" s="122">
        <v>10</v>
      </c>
      <c r="F58" s="125" t="s">
        <v>155</v>
      </c>
      <c r="G58" s="79" t="s">
        <v>172</v>
      </c>
      <c r="H58" s="78"/>
    </row>
    <row r="59" spans="1:8" ht="28.8" x14ac:dyDescent="0.3">
      <c r="A59" s="78"/>
      <c r="B59" s="76" t="s">
        <v>130</v>
      </c>
      <c r="C59" s="122">
        <v>522</v>
      </c>
      <c r="D59" s="123">
        <v>0.4</v>
      </c>
      <c r="E59" s="122">
        <v>10</v>
      </c>
      <c r="F59" s="125" t="s">
        <v>155</v>
      </c>
      <c r="G59" s="79" t="s">
        <v>172</v>
      </c>
      <c r="H59" s="78"/>
    </row>
    <row r="60" spans="1:8" x14ac:dyDescent="0.3">
      <c r="A60" s="78"/>
      <c r="B60" s="76" t="s">
        <v>93</v>
      </c>
      <c r="C60" s="122">
        <v>523</v>
      </c>
      <c r="D60" s="123">
        <v>0.95</v>
      </c>
      <c r="E60" s="122">
        <v>10</v>
      </c>
      <c r="F60" s="80" t="s">
        <v>157</v>
      </c>
      <c r="G60" s="80" t="s">
        <v>157</v>
      </c>
      <c r="H60" s="78"/>
    </row>
    <row r="61" spans="1:8" x14ac:dyDescent="0.3">
      <c r="A61" s="78"/>
      <c r="B61" s="79" t="s">
        <v>96</v>
      </c>
      <c r="C61" s="122">
        <v>525</v>
      </c>
      <c r="D61" s="123">
        <v>0.68</v>
      </c>
      <c r="E61" s="122">
        <v>10</v>
      </c>
      <c r="F61" s="80" t="s">
        <v>231</v>
      </c>
      <c r="G61" s="79" t="s">
        <v>173</v>
      </c>
      <c r="H61" s="78"/>
    </row>
    <row r="62" spans="1:8" ht="28.8" x14ac:dyDescent="0.3">
      <c r="A62" s="78"/>
      <c r="B62" s="76" t="s">
        <v>256</v>
      </c>
      <c r="C62" s="122">
        <v>532</v>
      </c>
      <c r="D62" s="124">
        <v>0.15</v>
      </c>
      <c r="E62" s="122">
        <v>10</v>
      </c>
      <c r="F62" s="80" t="s">
        <v>231</v>
      </c>
      <c r="G62" s="79" t="s">
        <v>163</v>
      </c>
      <c r="H62" s="78"/>
    </row>
    <row r="63" spans="1:8" ht="28.8" x14ac:dyDescent="0.3">
      <c r="A63" s="78"/>
      <c r="B63" s="76" t="s">
        <v>257</v>
      </c>
      <c r="C63" s="122">
        <v>533</v>
      </c>
      <c r="D63" s="123">
        <v>7.0000000000000007E-2</v>
      </c>
      <c r="E63" s="122">
        <v>5</v>
      </c>
      <c r="F63" s="80" t="s">
        <v>231</v>
      </c>
      <c r="G63" s="79" t="s">
        <v>174</v>
      </c>
      <c r="H63" s="78"/>
    </row>
    <row r="64" spans="1:8" ht="28.8" x14ac:dyDescent="0.3">
      <c r="A64" s="78"/>
      <c r="B64" s="76" t="s">
        <v>258</v>
      </c>
      <c r="C64" s="122">
        <v>534</v>
      </c>
      <c r="D64" s="123">
        <v>0.17</v>
      </c>
      <c r="E64" s="122">
        <v>4</v>
      </c>
      <c r="F64" s="80" t="s">
        <v>231</v>
      </c>
      <c r="G64" s="79" t="s">
        <v>174</v>
      </c>
      <c r="H64" s="78"/>
    </row>
    <row r="65" spans="1:8" x14ac:dyDescent="0.3">
      <c r="A65" s="78"/>
      <c r="B65" s="76" t="s">
        <v>139</v>
      </c>
      <c r="C65" s="122">
        <v>536</v>
      </c>
      <c r="D65" s="123">
        <v>0.31</v>
      </c>
      <c r="E65" s="122">
        <v>20</v>
      </c>
      <c r="F65" s="80" t="s">
        <v>231</v>
      </c>
      <c r="G65" s="79" t="s">
        <v>159</v>
      </c>
      <c r="H65" s="78"/>
    </row>
    <row r="66" spans="1:8" x14ac:dyDescent="0.3">
      <c r="A66" s="78"/>
      <c r="B66" s="76" t="s">
        <v>91</v>
      </c>
      <c r="C66" s="122">
        <v>537</v>
      </c>
      <c r="D66" s="123">
        <v>0.4</v>
      </c>
      <c r="E66" s="122">
        <v>20</v>
      </c>
      <c r="F66" s="80" t="s">
        <v>231</v>
      </c>
      <c r="G66" s="79" t="s">
        <v>159</v>
      </c>
      <c r="H66" s="78"/>
    </row>
    <row r="67" spans="1:8" ht="28.8" x14ac:dyDescent="0.3">
      <c r="A67" s="78"/>
      <c r="B67" s="76" t="s">
        <v>95</v>
      </c>
      <c r="C67" s="122">
        <v>538</v>
      </c>
      <c r="D67" s="123">
        <v>0.45</v>
      </c>
      <c r="E67" s="122">
        <v>20</v>
      </c>
      <c r="F67" s="80" t="s">
        <v>231</v>
      </c>
      <c r="G67" s="79" t="s">
        <v>163</v>
      </c>
      <c r="H67" s="78"/>
    </row>
    <row r="68" spans="1:8" ht="28.8" x14ac:dyDescent="0.3">
      <c r="A68" s="78"/>
      <c r="B68" s="76" t="s">
        <v>119</v>
      </c>
      <c r="C68" s="122">
        <v>540</v>
      </c>
      <c r="D68" s="123">
        <v>0.25</v>
      </c>
      <c r="E68" s="122">
        <v>10</v>
      </c>
      <c r="F68" s="80" t="s">
        <v>231</v>
      </c>
      <c r="G68" s="79" t="s">
        <v>163</v>
      </c>
      <c r="H68" s="78"/>
    </row>
    <row r="69" spans="1:8" ht="28.8" x14ac:dyDescent="0.3">
      <c r="A69" s="78"/>
      <c r="B69" s="76" t="s">
        <v>187</v>
      </c>
      <c r="C69" s="122">
        <v>541</v>
      </c>
      <c r="D69" s="123">
        <v>0.3</v>
      </c>
      <c r="E69" s="122">
        <v>20</v>
      </c>
      <c r="F69" s="80" t="s">
        <v>231</v>
      </c>
      <c r="G69" s="79" t="s">
        <v>163</v>
      </c>
      <c r="H69" s="78"/>
    </row>
    <row r="70" spans="1:8" ht="28.8" x14ac:dyDescent="0.3">
      <c r="A70" s="78"/>
      <c r="B70" s="76" t="s">
        <v>188</v>
      </c>
      <c r="C70" s="122">
        <v>542</v>
      </c>
      <c r="D70" s="123">
        <v>0.26</v>
      </c>
      <c r="E70" s="122">
        <v>10</v>
      </c>
      <c r="F70" s="80" t="s">
        <v>231</v>
      </c>
      <c r="G70" s="79" t="s">
        <v>163</v>
      </c>
      <c r="H70" s="78"/>
    </row>
    <row r="71" spans="1:8" ht="28.8" x14ac:dyDescent="0.3">
      <c r="A71" s="78"/>
      <c r="B71" s="76" t="s">
        <v>189</v>
      </c>
      <c r="C71" s="122">
        <v>543</v>
      </c>
      <c r="D71" s="123">
        <v>7.0000000000000007E-2</v>
      </c>
      <c r="E71" s="122">
        <v>5</v>
      </c>
      <c r="F71" s="80" t="s">
        <v>231</v>
      </c>
      <c r="G71" s="79" t="s">
        <v>163</v>
      </c>
      <c r="H71" s="78"/>
    </row>
    <row r="72" spans="1:8" ht="28.8" x14ac:dyDescent="0.3">
      <c r="A72" s="78"/>
      <c r="B72" s="76" t="s">
        <v>192</v>
      </c>
      <c r="C72" s="122">
        <v>544</v>
      </c>
      <c r="D72" s="123">
        <v>0.17</v>
      </c>
      <c r="E72" s="122">
        <v>4</v>
      </c>
      <c r="F72" s="80" t="s">
        <v>231</v>
      </c>
      <c r="G72" s="79" t="s">
        <v>163</v>
      </c>
      <c r="H72" s="78"/>
    </row>
    <row r="73" spans="1:8" x14ac:dyDescent="0.3">
      <c r="A73" s="78"/>
      <c r="B73" s="76" t="s">
        <v>191</v>
      </c>
      <c r="C73" s="122">
        <v>545</v>
      </c>
      <c r="D73" s="123">
        <v>0.15</v>
      </c>
      <c r="E73" s="122">
        <v>5</v>
      </c>
      <c r="F73" s="125" t="s">
        <v>155</v>
      </c>
      <c r="G73" s="79" t="s">
        <v>155</v>
      </c>
      <c r="H73" s="78"/>
    </row>
    <row r="74" spans="1:8" x14ac:dyDescent="0.3">
      <c r="A74" s="78"/>
      <c r="B74" s="76" t="s">
        <v>190</v>
      </c>
      <c r="C74" s="122">
        <v>547</v>
      </c>
      <c r="D74" s="123">
        <v>0.4</v>
      </c>
      <c r="E74" s="122">
        <v>10</v>
      </c>
      <c r="F74" s="125" t="s">
        <v>155</v>
      </c>
      <c r="G74" s="79" t="s">
        <v>155</v>
      </c>
      <c r="H74" s="78"/>
    </row>
    <row r="75" spans="1:8" x14ac:dyDescent="0.3">
      <c r="A75" s="78"/>
      <c r="B75" s="78"/>
      <c r="C75" s="78"/>
      <c r="D75" s="78"/>
      <c r="E75" s="78"/>
      <c r="F75" s="104"/>
      <c r="G75" s="161"/>
      <c r="H75" s="78"/>
    </row>
    <row r="76" spans="1:8" x14ac:dyDescent="0.3">
      <c r="A76" s="78"/>
      <c r="B76" s="78"/>
      <c r="C76" s="78"/>
      <c r="D76" s="78"/>
      <c r="E76" s="78"/>
      <c r="F76" s="104"/>
      <c r="G76" s="161"/>
      <c r="H76" s="78"/>
    </row>
    <row r="77" spans="1:8" x14ac:dyDescent="0.3">
      <c r="A77" s="78"/>
      <c r="B77" s="78"/>
      <c r="C77" s="78"/>
      <c r="D77" s="78"/>
      <c r="E77" s="78"/>
      <c r="F77" s="104"/>
      <c r="G77" s="161"/>
      <c r="H77" s="78"/>
    </row>
    <row r="78" spans="1:8" x14ac:dyDescent="0.3">
      <c r="A78" s="78"/>
      <c r="B78" s="116" t="s">
        <v>84</v>
      </c>
      <c r="C78" s="126" t="s">
        <v>83</v>
      </c>
      <c r="D78" s="78"/>
      <c r="E78" s="78"/>
      <c r="F78" s="104"/>
      <c r="G78" s="161"/>
      <c r="H78" s="78"/>
    </row>
    <row r="79" spans="1:8" x14ac:dyDescent="0.3">
      <c r="A79" s="78"/>
      <c r="B79" s="76" t="s">
        <v>122</v>
      </c>
      <c r="C79" s="122">
        <v>110</v>
      </c>
      <c r="D79" s="78"/>
      <c r="E79" s="78"/>
      <c r="F79" s="104"/>
      <c r="G79" s="161"/>
      <c r="H79" s="78"/>
    </row>
    <row r="80" spans="1:8" x14ac:dyDescent="0.3">
      <c r="A80" s="78"/>
      <c r="B80" s="76" t="s">
        <v>100</v>
      </c>
      <c r="C80" s="122">
        <v>131</v>
      </c>
      <c r="D80" s="78"/>
      <c r="E80" s="78"/>
      <c r="F80" s="104"/>
      <c r="G80" s="161"/>
      <c r="H80" s="78"/>
    </row>
    <row r="81" spans="1:8" x14ac:dyDescent="0.3">
      <c r="A81" s="78"/>
      <c r="B81" s="79" t="s">
        <v>121</v>
      </c>
      <c r="C81" s="122">
        <v>403</v>
      </c>
      <c r="D81" s="78"/>
      <c r="E81" s="78"/>
      <c r="F81" s="104"/>
      <c r="G81" s="161"/>
      <c r="H81" s="78"/>
    </row>
    <row r="82" spans="1:8" x14ac:dyDescent="0.3">
      <c r="A82" s="78"/>
      <c r="B82" s="76" t="s">
        <v>125</v>
      </c>
      <c r="C82" s="122">
        <v>407</v>
      </c>
      <c r="D82" s="78"/>
      <c r="E82" s="78"/>
      <c r="F82" s="104"/>
      <c r="G82" s="161"/>
      <c r="H82" s="78"/>
    </row>
    <row r="83" spans="1:8" x14ac:dyDescent="0.3">
      <c r="A83" s="78"/>
      <c r="B83" s="76" t="s">
        <v>449</v>
      </c>
      <c r="C83" s="120">
        <v>0</v>
      </c>
      <c r="D83" s="78"/>
      <c r="E83" s="78"/>
      <c r="F83" s="104"/>
      <c r="G83" s="161"/>
      <c r="H83" s="78"/>
    </row>
    <row r="84" spans="1:8" x14ac:dyDescent="0.3">
      <c r="A84" s="78"/>
      <c r="B84" s="78"/>
      <c r="C84" s="78"/>
      <c r="D84" s="78"/>
      <c r="E84" s="78"/>
      <c r="F84" s="104"/>
      <c r="G84" s="161"/>
      <c r="H84" s="78"/>
    </row>
  </sheetData>
  <sheetProtection algorithmName="SHA-512" hashValue="LApFe799Gza6osMjmf+zsvmQhGDEltIxclPvCxPE+fQjvP6maWLCap7TcTGMqfHDM9VK+rUDhhMy26Yb59P92g==" saltValue="ksYri9Ss/i27f32idweTBg==" spinCount="100000" sheet="1" objects="1" scenarios="1"/>
  <sortState xmlns:xlrd2="http://schemas.microsoft.com/office/spreadsheetml/2017/richdata2" ref="B5:F71">
    <sortCondition ref="B5:B7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2FC740BCA03C479DA71D811169BFA1" ma:contentTypeVersion="5" ma:contentTypeDescription="Create a new document." ma:contentTypeScope="" ma:versionID="55c1fcfba0b50bee698a5af054f21b19">
  <xsd:schema xmlns:xsd="http://www.w3.org/2001/XMLSchema" xmlns:xs="http://www.w3.org/2001/XMLSchema" xmlns:p="http://schemas.microsoft.com/office/2006/metadata/properties" xmlns:ns2="12c48a06-edc6-4ccf-ab50-6f21e6b801cd" xmlns:ns3="6a71ecd6-7a08-4b40-8c69-f5ec8494976e" targetNamespace="http://schemas.microsoft.com/office/2006/metadata/properties" ma:root="true" ma:fieldsID="620b7003fcbb9a2700d630a39e7fc411" ns2:_="" ns3:_="">
    <xsd:import namespace="12c48a06-edc6-4ccf-ab50-6f21e6b801cd"/>
    <xsd:import namespace="6a71ecd6-7a08-4b40-8c69-f5ec849497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48a06-edc6-4ccf-ab50-6f21e6b80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1ecd6-7a08-4b40-8c69-f5ec849497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06632-6169-4B3F-AFE7-9D49D1CC156E}">
  <ds:schemaRefs>
    <ds:schemaRef ds:uri="http://schemas.microsoft.com/office/2006/metadata/properties"/>
    <ds:schemaRef ds:uri="http://purl.org/dc/terms/"/>
    <ds:schemaRef ds:uri="http://purl.org/dc/dcmitype/"/>
    <ds:schemaRef ds:uri="81a4f861-95b9-4778-a1f2-b2822ccfe95a"/>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5654b5c5-2d4b-4b70-8cda-bbd2a2df3e63"/>
  </ds:schemaRefs>
</ds:datastoreItem>
</file>

<file path=customXml/itemProps2.xml><?xml version="1.0" encoding="utf-8"?>
<ds:datastoreItem xmlns:ds="http://schemas.openxmlformats.org/officeDocument/2006/customXml" ds:itemID="{95704B35-9751-49FE-8F45-EE02DA89D8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48a06-edc6-4ccf-ab50-6f21e6b801cd"/>
    <ds:schemaRef ds:uri="6a71ecd6-7a08-4b40-8c69-f5ec84949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F18689-68D8-4516-AEDD-5D80C4E10C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Instructions</vt:lpstr>
      <vt:lpstr>ITS Delay Worksheet</vt:lpstr>
      <vt:lpstr>Emissions Reduction Worksheet</vt:lpstr>
      <vt:lpstr>Inputs &amp; Outputs</vt:lpstr>
      <vt:lpstr>Preventable Crash data</vt:lpstr>
      <vt:lpstr>Calculations</vt:lpstr>
      <vt:lpstr>Assumed Values</vt:lpstr>
      <vt:lpstr>Value of Statistical Life</vt:lpstr>
      <vt:lpstr>CRF Lookup Table</vt:lpstr>
      <vt:lpstr>Raw Crash data</vt:lpstr>
      <vt:lpstr>Ped bike commuter analysis data</vt:lpstr>
      <vt:lpstr>Growth Rates</vt:lpstr>
      <vt:lpstr>_2021_2045_Demand_Growth</vt:lpstr>
      <vt:lpstr>_2021_2045_V_C_Growth</vt:lpstr>
      <vt:lpstr>_2021_V_C_Ratio</vt:lpstr>
      <vt:lpstr>_2030_2030_Demand_Growth</vt:lpstr>
      <vt:lpstr>_2030_2045_Demand_Growth</vt:lpstr>
      <vt:lpstr>_2030_2045_V_C_Growth</vt:lpstr>
      <vt:lpstr>_2030_V_C_Ratio</vt:lpstr>
      <vt:lpstr>_2045_V_C_Ratio</vt:lpstr>
      <vt:lpstr>_Avg_Crash_Rate_per_100m_VMT</vt:lpstr>
      <vt:lpstr>Application_ID_Number</vt:lpstr>
      <vt:lpstr>Appropriate_Crash_Reduction_Factor1</vt:lpstr>
      <vt:lpstr>Appropriate_Crash_Reduction_Factor2</vt:lpstr>
      <vt:lpstr>Appropriate_Crash_Reduction_Factor3</vt:lpstr>
      <vt:lpstr>Base_Year</vt:lpstr>
      <vt:lpstr>CRIS_Titles</vt:lpstr>
      <vt:lpstr>'Assumed Values'!Print_Area</vt:lpstr>
      <vt:lpstr>Calculations!Print_Area</vt:lpstr>
      <vt:lpstr>'Emissions Reduction Worksheet'!Print_Area</vt:lpstr>
      <vt:lpstr>'Inputs &amp; Outputs'!Print_Area</vt:lpstr>
      <vt:lpstr>Instructions!Print_Area</vt:lpstr>
      <vt:lpstr>'ITS Delay Worksheet'!Print_Area</vt:lpstr>
      <vt:lpstr>Project_Title</vt:lpstr>
      <vt:lpstr>Real_Discount_Rate</vt:lpstr>
      <vt:lpstr>Service_Life1</vt:lpstr>
      <vt:lpstr>Service_Life2</vt:lpstr>
      <vt:lpstr>Service_Life3</vt:lpstr>
      <vt:lpstr>Sponsor_ID_Number__CSJ__etc.</vt:lpstr>
      <vt:lpstr>Value_of_Crash_Savings__2018_____000s</vt:lpstr>
      <vt:lpstr>Value_of_Statistical_Life_2018</vt:lpstr>
      <vt:lpstr>Year_Open_to_Traffic?</vt:lpstr>
      <vt:lpstr>Years_to_include_in_BCA_Analysis1</vt:lpstr>
      <vt:lpstr>Years_to_include_in_BCA_Analysis2</vt:lpstr>
      <vt:lpstr>Years_to_include_in_BCA_Analysis3</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wurdlow</dc:creator>
  <cp:lastModifiedBy>Lingala, Vishu</cp:lastModifiedBy>
  <cp:lastPrinted>2018-08-02T18:58:13Z</cp:lastPrinted>
  <dcterms:created xsi:type="dcterms:W3CDTF">2012-07-25T15:48:32Z</dcterms:created>
  <dcterms:modified xsi:type="dcterms:W3CDTF">2024-07-22T12:24:19Z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0x010100412FC740BCA03C479DA71D811169BFA1</vt:lpwstr>
  </property>
</Properties>
</file>