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mc:AlternateContent xmlns:mc="http://schemas.openxmlformats.org/markup-compatibility/2006">
    <mc:Choice Requires="x15">
      <x15ac:absPath xmlns:x15ac="http://schemas.microsoft.com/office/spreadsheetml/2010/11/ac" url="https://hgac.sharepoint.com/sites/fn/Yvette/Website Updates/"/>
    </mc:Choice>
  </mc:AlternateContent>
  <xr:revisionPtr revIDLastSave="0" documentId="8_{A244183F-BF6D-4A6B-A8EF-DF69B0F9C0CD}" xr6:coauthVersionLast="47" xr6:coauthVersionMax="47" xr10:uidLastSave="{00000000-0000-0000-0000-000000000000}"/>
  <bookViews>
    <workbookView xWindow="57480" yWindow="-120" windowWidth="29040" windowHeight="15720" tabRatio="838" firstSheet="4" activeTab="4" xr2:uid="{00000000-000D-0000-FFFF-FFFF00000000}"/>
  </bookViews>
  <sheets>
    <sheet name="C&amp;ENarr" sheetId="30" state="hidden" r:id="rId1"/>
    <sheet name="WkforceNarr" sheetId="31" state="hidden" r:id="rId2"/>
    <sheet name="Pubsvcnarr" sheetId="32" state="hidden" r:id="rId3"/>
    <sheet name="allocation" sheetId="25" state="hidden" r:id="rId4"/>
    <sheet name="SVCPLAN" sheetId="7" r:id="rId5"/>
    <sheet name="APLREV" sheetId="6" r:id="rId6"/>
    <sheet name="ALLEXP" sheetId="8" r:id="rId7"/>
    <sheet name="EXP- OTHERS" sheetId="40" r:id="rId8"/>
    <sheet name="EMPLOYEES" sheetId="41" r:id="rId9"/>
    <sheet name="LEGAL SERVICES" sheetId="42" r:id="rId10"/>
    <sheet name="INDIRECT" sheetId="5" r:id="rId11"/>
    <sheet name="BENEFIT" sheetId="15" r:id="rId12"/>
    <sheet name="LOCAL" sheetId="4" r:id="rId13"/>
    <sheet name="Unrestricted fund bal" sheetId="16" r:id="rId14"/>
    <sheet name="Overall Fund Bal" sheetId="26" r:id="rId15"/>
    <sheet name="REVANALYSIS-2" sheetId="34" r:id="rId16"/>
    <sheet name="UNRESTRICTEDREV-2" sheetId="35" r:id="rId17"/>
    <sheet name="PROGRAM EXP-2" sheetId="36" r:id="rId18"/>
    <sheet name="CATEGORY EXP-2" sheetId="37" r:id="rId19"/>
    <sheet name="SHAREDINDR-2" sheetId="38" r:id="rId20"/>
    <sheet name="UNRESTRICTEDUSE-2" sheetId="39" r:id="rId21"/>
    <sheet name="Alloc" sheetId="33" state="hidden" r:id="rId22"/>
    <sheet name="GRAPH" sheetId="14"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xlnm.Print_Area" localSheetId="6">ALLEXP!$A$2:$N$40</definedName>
    <definedName name="_xlnm.Print_Area" localSheetId="5">APLREV!$A$2:$K$26</definedName>
    <definedName name="_xlnm.Print_Area" localSheetId="11">BENEFIT!$A$2:$D$40</definedName>
    <definedName name="_xlnm.Print_Area" localSheetId="0">'C&amp;ENarr'!$A:$E</definedName>
    <definedName name="_xlnm.Print_Area" localSheetId="18">'CATEGORY EXP-2'!$A$1:$R$50</definedName>
    <definedName name="_xlnm.Print_Area" localSheetId="8">EMPLOYEES!$B$2:$N$26</definedName>
    <definedName name="_xlnm.Print_Area" localSheetId="7">'EXP- OTHERS'!$A$2:$N$32</definedName>
    <definedName name="_xlnm.Print_Area" localSheetId="10">INDIRECT!$A$2:$C$43</definedName>
    <definedName name="_xlnm.Print_Area" localSheetId="9">'LEGAL SERVICES'!$A$2:$M$11</definedName>
    <definedName name="_xlnm.Print_Area" localSheetId="12">LOCAL!$A$2:$D$23</definedName>
    <definedName name="_xlnm.Print_Area" localSheetId="14">'Overall Fund Bal'!$A$1:$D$46</definedName>
    <definedName name="_xlnm.Print_Area" localSheetId="17">'PROGRAM EXP-2'!$A$1:$Q$49</definedName>
    <definedName name="_xlnm.Print_Area" localSheetId="2">Pubsvcnarr!$A$4:$F$65</definedName>
    <definedName name="_xlnm.Print_Area" localSheetId="15">'REVANALYSIS-2'!$A$1:$P$49</definedName>
    <definedName name="_xlnm.Print_Area" localSheetId="19">'SHAREDINDR-2'!$A$1:$Q$49</definedName>
    <definedName name="_xlnm.Print_Area" localSheetId="4">SVCPLAN!$A$2:$G$46</definedName>
    <definedName name="_xlnm.Print_Area" localSheetId="13">'Unrestricted fund bal'!$A$1:$D$41</definedName>
    <definedName name="_xlnm.Print_Area" localSheetId="16">'UNRESTRICTEDREV-2'!$A$1:$Q$49</definedName>
    <definedName name="_xlnm.Print_Area" localSheetId="1">WkforceNarr!$A$2:$G$69</definedName>
  </definedNames>
  <calcPr calcId="191028"/>
  <customWorkbookViews>
    <customWorkbookView name="Working Copy" guid="{8970DFA1-A026-4639-BD60-39EC20285CCC}" includePrintSettings="0" includeHiddenRowCol="0" maximized="1" windowWidth="1276" windowHeight="822" tabRatio="598" activeSheetId="3" showComments="commIndAndComment"/>
    <customWorkbookView name="Public Service View" guid="{AADB8EA3-75F0-4468-B5D5-C7110D6EC38B}" maximized="1" windowWidth="1276" windowHeight="822" tabRatio="598" activeSheetId="3" showComments="commIndAndComment"/>
    <customWorkbookView name="Data Service View" guid="{1D9F4367-0C2F-46F1-9E55-939D20D76F5B}" maximized="1" windowWidth="1276" windowHeight="822" tabRatio="598" activeSheetId="3" showComments="commIndAndComment"/>
    <customWorkbookView name="Transp View" guid="{921A7AC6-7D1A-435F-A825-B8B8C1A90F20}" maximized="1" windowWidth="1276" windowHeight="822" tabRatio="598" activeSheetId="3" showComments="commIndAndComment"/>
    <customWorkbookView name="Aging View" guid="{ED9CD846-0F6B-4BF7-A940-412E425E8FCE}" maximized="1" windowWidth="1276" windowHeight="822" tabRatio="598" activeSheetId="3" showComments="commIndAndComment"/>
    <customWorkbookView name="Human Service View" guid="{497CB486-623F-41B0-B370-EF2A82E78B1D}" maximized="1" windowWidth="1276" windowHeight="822" tabRatio="598" activeSheetId="3" showComments="commIndAndComment"/>
    <customWorkbookView name="C&amp;E View" guid="{20CF2976-B2A7-4F04-88DC-0AB25CA8A6C6}" maximized="1" windowWidth="1276" windowHeight="822" tabRatio="598" activeSheetId="3" showComments="commIndAndComment"/>
    <customWorkbookView name="ADM BUDGET" guid="{CB724201-FBEC-4626-9DD9-AEC98BB80DB0}" maximized="1" windowWidth="1276" windowHeight="822" tabRatio="598" activeSheetId="3"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9" i="8" l="1"/>
  <c r="Q20" i="8"/>
  <c r="Q23" i="8"/>
  <c r="J27" i="40" l="1"/>
  <c r="J25" i="40"/>
  <c r="J24" i="40"/>
  <c r="J22" i="40"/>
  <c r="J21" i="40"/>
  <c r="J20" i="40"/>
  <c r="J19" i="40"/>
  <c r="J18" i="40"/>
  <c r="J17" i="40"/>
  <c r="J16" i="40"/>
  <c r="J15" i="40"/>
  <c r="J14" i="40"/>
  <c r="J13" i="40"/>
  <c r="J12" i="40"/>
  <c r="J11" i="40"/>
  <c r="J10" i="40"/>
  <c r="J9" i="40"/>
  <c r="J8" i="40"/>
  <c r="F25" i="40"/>
  <c r="F24" i="40"/>
  <c r="F22" i="40"/>
  <c r="F21" i="40"/>
  <c r="F20" i="40"/>
  <c r="F19" i="40"/>
  <c r="F18" i="40"/>
  <c r="F17" i="40"/>
  <c r="F16" i="40"/>
  <c r="F15" i="40"/>
  <c r="F14" i="40"/>
  <c r="F13" i="40"/>
  <c r="F12" i="40"/>
  <c r="F11" i="40"/>
  <c r="F10" i="40"/>
  <c r="F9" i="40"/>
  <c r="F8" i="40"/>
  <c r="D9" i="33"/>
  <c r="E17" i="33"/>
  <c r="J17" i="8"/>
  <c r="J16" i="8"/>
  <c r="J15" i="8"/>
  <c r="J14" i="8"/>
  <c r="J13" i="8"/>
  <c r="J12" i="8"/>
  <c r="J11" i="8"/>
  <c r="J10" i="8"/>
  <c r="J9" i="8"/>
  <c r="J8" i="8"/>
  <c r="F17" i="8"/>
  <c r="F16" i="8"/>
  <c r="F15" i="8"/>
  <c r="F14" i="8"/>
  <c r="Q14" i="8" s="1"/>
  <c r="F13" i="8"/>
  <c r="F12" i="8"/>
  <c r="F11" i="8"/>
  <c r="F10" i="8"/>
  <c r="F9" i="8"/>
  <c r="F8" i="8"/>
  <c r="I23" i="6"/>
  <c r="I22" i="6"/>
  <c r="I21" i="6"/>
  <c r="I20" i="6"/>
  <c r="I19" i="6"/>
  <c r="I18" i="6"/>
  <c r="I16" i="6"/>
  <c r="I14" i="6"/>
  <c r="I25" i="40"/>
  <c r="I24" i="40"/>
  <c r="I22" i="40"/>
  <c r="I21" i="40"/>
  <c r="I20" i="40"/>
  <c r="I19" i="40"/>
  <c r="I18" i="40"/>
  <c r="I17" i="40"/>
  <c r="I16" i="40"/>
  <c r="I15" i="40"/>
  <c r="I14" i="40"/>
  <c r="I13" i="40"/>
  <c r="I12" i="40"/>
  <c r="I11" i="40"/>
  <c r="I10" i="40"/>
  <c r="I9" i="40"/>
  <c r="I8" i="40"/>
  <c r="E21" i="33"/>
  <c r="I22" i="8"/>
  <c r="I17" i="8"/>
  <c r="I16" i="8"/>
  <c r="I15" i="8"/>
  <c r="I14" i="8"/>
  <c r="I13" i="8"/>
  <c r="I12" i="8"/>
  <c r="I11" i="8"/>
  <c r="I10" i="8"/>
  <c r="I9" i="8"/>
  <c r="I8" i="8"/>
  <c r="H23" i="6"/>
  <c r="H20" i="6"/>
  <c r="H14" i="6"/>
  <c r="H8" i="6"/>
  <c r="C34" i="15"/>
  <c r="C33" i="15"/>
  <c r="C22" i="15"/>
  <c r="C21" i="15"/>
  <c r="C20" i="15"/>
  <c r="C19" i="15"/>
  <c r="C18" i="15"/>
  <c r="C12" i="15"/>
  <c r="C11" i="15"/>
  <c r="C10" i="15"/>
  <c r="C9" i="15"/>
  <c r="G25" i="40"/>
  <c r="G24" i="40"/>
  <c r="G22" i="40"/>
  <c r="G21" i="40"/>
  <c r="G20" i="40"/>
  <c r="G19" i="40"/>
  <c r="G18" i="40"/>
  <c r="G17" i="40"/>
  <c r="G16" i="40"/>
  <c r="G15" i="40"/>
  <c r="G14" i="40"/>
  <c r="G13" i="40"/>
  <c r="G12" i="40"/>
  <c r="G11" i="40"/>
  <c r="G10" i="40"/>
  <c r="G9" i="40"/>
  <c r="G8" i="40"/>
  <c r="C25" i="40"/>
  <c r="C24" i="40"/>
  <c r="C22" i="40"/>
  <c r="C21" i="40"/>
  <c r="C20" i="40"/>
  <c r="C19" i="40"/>
  <c r="C18" i="40"/>
  <c r="C17" i="40"/>
  <c r="C16" i="40"/>
  <c r="C15" i="40"/>
  <c r="C14" i="40"/>
  <c r="C13" i="40"/>
  <c r="C12" i="40"/>
  <c r="C11" i="40"/>
  <c r="C10" i="40"/>
  <c r="C9" i="40"/>
  <c r="C8" i="40"/>
  <c r="G22" i="8"/>
  <c r="C22" i="8"/>
  <c r="G17" i="8"/>
  <c r="G15" i="8"/>
  <c r="G12" i="8"/>
  <c r="G11" i="8"/>
  <c r="C17" i="8"/>
  <c r="C15" i="8"/>
  <c r="C12" i="8"/>
  <c r="C11" i="8"/>
  <c r="C23" i="6"/>
  <c r="F20" i="6"/>
  <c r="C20" i="6"/>
  <c r="F11" i="6"/>
  <c r="H24" i="40"/>
  <c r="H22" i="40"/>
  <c r="H21" i="40"/>
  <c r="H20" i="40"/>
  <c r="H19" i="40"/>
  <c r="H18" i="40"/>
  <c r="H16" i="40"/>
  <c r="H15" i="40"/>
  <c r="H14" i="40"/>
  <c r="H13" i="40"/>
  <c r="H12" i="40"/>
  <c r="H11" i="40"/>
  <c r="H10" i="40"/>
  <c r="H9" i="40"/>
  <c r="H8" i="40"/>
  <c r="E19" i="33"/>
  <c r="C31" i="16"/>
  <c r="C30" i="16"/>
  <c r="H22" i="8"/>
  <c r="H17" i="8"/>
  <c r="H16" i="8"/>
  <c r="H15" i="8"/>
  <c r="H14" i="8"/>
  <c r="H13" i="8"/>
  <c r="H12" i="8"/>
  <c r="H11" i="8"/>
  <c r="H10" i="8"/>
  <c r="H9" i="8"/>
  <c r="H8" i="8"/>
  <c r="G24" i="6"/>
  <c r="G23" i="6"/>
  <c r="G21" i="6"/>
  <c r="G20" i="6"/>
  <c r="E25" i="40"/>
  <c r="E24" i="40"/>
  <c r="E22" i="40"/>
  <c r="E21" i="40"/>
  <c r="E20" i="40"/>
  <c r="E19" i="40"/>
  <c r="E18" i="40"/>
  <c r="E17" i="40"/>
  <c r="E16" i="40"/>
  <c r="E15" i="40"/>
  <c r="E14" i="40"/>
  <c r="E13" i="40"/>
  <c r="E12" i="40"/>
  <c r="E11" i="40"/>
  <c r="E10" i="40"/>
  <c r="E9" i="40"/>
  <c r="E8" i="40"/>
  <c r="E16" i="33"/>
  <c r="E17" i="8"/>
  <c r="E16" i="8"/>
  <c r="E14" i="8"/>
  <c r="E13" i="8"/>
  <c r="E11" i="8"/>
  <c r="E10" i="8"/>
  <c r="E9" i="8"/>
  <c r="E8" i="8"/>
  <c r="E16" i="6"/>
  <c r="D27" i="40"/>
  <c r="D25" i="40"/>
  <c r="D24" i="40"/>
  <c r="D22" i="40"/>
  <c r="D21" i="40"/>
  <c r="D20" i="40"/>
  <c r="D19" i="40"/>
  <c r="D18" i="40"/>
  <c r="D17" i="40"/>
  <c r="D16" i="40"/>
  <c r="D15" i="40"/>
  <c r="D14" i="40"/>
  <c r="D13" i="40"/>
  <c r="D12" i="40"/>
  <c r="D11" i="40"/>
  <c r="D10" i="40"/>
  <c r="D9" i="40"/>
  <c r="D8" i="40"/>
  <c r="E18" i="33"/>
  <c r="D22" i="8"/>
  <c r="D21" i="8"/>
  <c r="D17" i="8"/>
  <c r="D16" i="8"/>
  <c r="D15" i="8"/>
  <c r="D14" i="8"/>
  <c r="D13" i="8"/>
  <c r="D12" i="8"/>
  <c r="D11" i="8"/>
  <c r="D10" i="8"/>
  <c r="D9" i="8"/>
  <c r="D8" i="8"/>
  <c r="D23" i="6"/>
  <c r="D21" i="6"/>
  <c r="D18" i="6"/>
  <c r="D17" i="6"/>
  <c r="D15" i="6"/>
  <c r="D14" i="6"/>
  <c r="D13" i="6"/>
  <c r="D12" i="6"/>
  <c r="D10" i="6"/>
  <c r="C10" i="33"/>
  <c r="C9" i="33"/>
  <c r="C19" i="4"/>
  <c r="C17" i="4"/>
  <c r="C16" i="4"/>
  <c r="C15" i="4"/>
  <c r="C14" i="4"/>
  <c r="C9" i="4"/>
  <c r="C8" i="4"/>
  <c r="B13" i="5"/>
  <c r="B12" i="5"/>
  <c r="B11" i="5"/>
  <c r="B10" i="5"/>
  <c r="B35" i="5"/>
  <c r="B34" i="5"/>
  <c r="B32" i="5"/>
  <c r="B31" i="5"/>
  <c r="B30" i="5"/>
  <c r="B29" i="5"/>
  <c r="B28" i="5"/>
  <c r="B27" i="5"/>
  <c r="B26" i="5"/>
  <c r="B25" i="5"/>
  <c r="B24" i="5"/>
  <c r="B23" i="5"/>
  <c r="B22" i="5"/>
  <c r="B21" i="5"/>
  <c r="B20" i="5"/>
  <c r="B19" i="5"/>
  <c r="B18" i="5"/>
  <c r="B17" i="5"/>
  <c r="B16" i="5"/>
  <c r="M29" i="40"/>
  <c r="M28" i="40"/>
  <c r="K28" i="40"/>
  <c r="M27" i="40"/>
  <c r="K27" i="40"/>
  <c r="M26" i="40"/>
  <c r="K26" i="40"/>
  <c r="M24" i="40"/>
  <c r="L24" i="40"/>
  <c r="K24" i="40"/>
  <c r="K23" i="40"/>
  <c r="M22" i="40"/>
  <c r="L22" i="40"/>
  <c r="K22" i="40"/>
  <c r="M21" i="40"/>
  <c r="L21" i="40"/>
  <c r="K21" i="40"/>
  <c r="M20" i="40"/>
  <c r="L20" i="40"/>
  <c r="K20" i="40"/>
  <c r="M19" i="40"/>
  <c r="L19" i="40"/>
  <c r="K19" i="40"/>
  <c r="M18" i="40"/>
  <c r="L18" i="40"/>
  <c r="K18" i="40"/>
  <c r="M17" i="40"/>
  <c r="L17" i="40"/>
  <c r="K17" i="40"/>
  <c r="M16" i="40"/>
  <c r="L16" i="40"/>
  <c r="K16" i="40"/>
  <c r="M15" i="40"/>
  <c r="L15" i="40"/>
  <c r="K15" i="40"/>
  <c r="M14" i="40"/>
  <c r="L14" i="40"/>
  <c r="K14" i="40"/>
  <c r="M13" i="40"/>
  <c r="L13" i="40"/>
  <c r="K13" i="40"/>
  <c r="M12" i="40"/>
  <c r="L12" i="40"/>
  <c r="K12" i="40"/>
  <c r="M11" i="40"/>
  <c r="L11" i="40"/>
  <c r="K11" i="40"/>
  <c r="M10" i="40"/>
  <c r="L10" i="40"/>
  <c r="K10" i="40"/>
  <c r="M9" i="40"/>
  <c r="L9" i="40"/>
  <c r="K9" i="40"/>
  <c r="M8" i="40"/>
  <c r="L8" i="40"/>
  <c r="K8" i="40"/>
  <c r="B33" i="5"/>
  <c r="B14" i="5"/>
  <c r="M21" i="8"/>
  <c r="M17" i="8"/>
  <c r="L17" i="8"/>
  <c r="K17" i="8"/>
  <c r="M15" i="8"/>
  <c r="L15" i="8"/>
  <c r="K15" i="8"/>
  <c r="M12" i="8"/>
  <c r="L12" i="8"/>
  <c r="K12" i="8"/>
  <c r="M11" i="8"/>
  <c r="L11" i="8"/>
  <c r="K11" i="8"/>
  <c r="J20" i="6"/>
  <c r="N10" i="41"/>
  <c r="N11" i="41"/>
  <c r="M11" i="41"/>
  <c r="N9" i="41"/>
  <c r="N8" i="41"/>
  <c r="C41" i="26" l="1"/>
  <c r="C40" i="26"/>
  <c r="C42" i="5" l="1"/>
  <c r="J23" i="6" l="1"/>
  <c r="J8" i="41" l="1"/>
  <c r="D38" i="15" l="1"/>
  <c r="C37" i="5" l="1"/>
  <c r="J22" i="6"/>
  <c r="K21" i="42"/>
  <c r="F21" i="42"/>
  <c r="L16" i="42"/>
  <c r="L18" i="42" s="1"/>
  <c r="K16" i="42"/>
  <c r="K18" i="42" s="1"/>
  <c r="J16" i="42"/>
  <c r="J18" i="42" s="1"/>
  <c r="I16" i="42"/>
  <c r="I18" i="42" s="1"/>
  <c r="H16" i="42"/>
  <c r="H18" i="42" s="1"/>
  <c r="G16" i="42"/>
  <c r="G18" i="42" s="1"/>
  <c r="E16" i="42"/>
  <c r="E18" i="42" s="1"/>
  <c r="D16" i="42"/>
  <c r="D18" i="42" s="1"/>
  <c r="C16" i="42"/>
  <c r="C18" i="42" s="1"/>
  <c r="L13" i="42"/>
  <c r="L14" i="42" s="1"/>
  <c r="J13" i="42"/>
  <c r="J14" i="42" s="1"/>
  <c r="I13" i="42"/>
  <c r="I14" i="42" s="1"/>
  <c r="H13" i="42"/>
  <c r="H14" i="42" s="1"/>
  <c r="G13" i="42"/>
  <c r="G14" i="42" s="1"/>
  <c r="E13" i="42"/>
  <c r="E14" i="42" s="1"/>
  <c r="D13" i="42"/>
  <c r="D14" i="42" s="1"/>
  <c r="C13" i="42"/>
  <c r="C14" i="42" s="1"/>
  <c r="L12" i="42"/>
  <c r="K12" i="42"/>
  <c r="J12" i="42"/>
  <c r="I12" i="42"/>
  <c r="H12" i="42"/>
  <c r="G12" i="42"/>
  <c r="E12" i="42"/>
  <c r="D12" i="42"/>
  <c r="C12" i="42"/>
  <c r="L9" i="42"/>
  <c r="K9" i="42"/>
  <c r="J9" i="42"/>
  <c r="I9" i="42"/>
  <c r="H9" i="42"/>
  <c r="G9" i="42"/>
  <c r="E9" i="42"/>
  <c r="D9" i="42"/>
  <c r="C9" i="42"/>
  <c r="F9" i="42"/>
  <c r="F10" i="41"/>
  <c r="F9" i="41"/>
  <c r="F8" i="41"/>
  <c r="M9" i="42" l="1"/>
  <c r="F12" i="42"/>
  <c r="F13" i="42"/>
  <c r="F14" i="42" s="1"/>
  <c r="F16" i="42"/>
  <c r="F18" i="42" s="1"/>
  <c r="M8" i="42"/>
  <c r="K11" i="41" l="1"/>
  <c r="K23" i="41"/>
  <c r="F23" i="41"/>
  <c r="H11" i="41"/>
  <c r="F11" i="41"/>
  <c r="L18" i="41"/>
  <c r="L20" i="41" s="1"/>
  <c r="J18" i="41"/>
  <c r="J20" i="41" s="1"/>
  <c r="I18" i="41"/>
  <c r="I20" i="41" s="1"/>
  <c r="H14" i="41"/>
  <c r="G18" i="41"/>
  <c r="G20" i="41" s="1"/>
  <c r="F15" i="41"/>
  <c r="F16" i="41" s="1"/>
  <c r="D11" i="41" l="1"/>
  <c r="D18" i="41"/>
  <c r="D20" i="41" s="1"/>
  <c r="K18" i="41"/>
  <c r="K20" i="41" s="1"/>
  <c r="E11" i="41"/>
  <c r="E18" i="41"/>
  <c r="E20" i="41" s="1"/>
  <c r="I15" i="41"/>
  <c r="I16" i="41" s="1"/>
  <c r="L11" i="41"/>
  <c r="F14" i="41"/>
  <c r="G14" i="41"/>
  <c r="I14" i="41"/>
  <c r="G15" i="41"/>
  <c r="G16" i="41" s="1"/>
  <c r="G11" i="41"/>
  <c r="H15" i="41"/>
  <c r="H16" i="41" s="1"/>
  <c r="C14" i="41"/>
  <c r="D14" i="41"/>
  <c r="I11" i="41"/>
  <c r="E14" i="41"/>
  <c r="J15" i="41"/>
  <c r="J16" i="41" s="1"/>
  <c r="F18" i="41"/>
  <c r="F20" i="41" s="1"/>
  <c r="L14" i="41"/>
  <c r="J11" i="41"/>
  <c r="C15" i="41"/>
  <c r="C16" i="41" s="1"/>
  <c r="L15" i="41"/>
  <c r="L16" i="41" s="1"/>
  <c r="C18" i="41"/>
  <c r="C20" i="41" s="1"/>
  <c r="K14" i="41"/>
  <c r="C11" i="41"/>
  <c r="D15" i="41"/>
  <c r="D16" i="41" s="1"/>
  <c r="H18" i="41"/>
  <c r="H20" i="41" s="1"/>
  <c r="J14" i="41"/>
  <c r="E15" i="41"/>
  <c r="E16" i="41" s="1"/>
  <c r="J25" i="6" l="1"/>
  <c r="L22" i="41" l="1"/>
  <c r="L23" i="41" s="1"/>
  <c r="L20" i="42"/>
  <c r="L21" i="42" s="1"/>
  <c r="K12" i="6"/>
  <c r="N29" i="40" l="1"/>
  <c r="J30" i="40" l="1"/>
  <c r="H30" i="40" l="1"/>
  <c r="D30" i="40" l="1"/>
  <c r="I30" i="40" l="1"/>
  <c r="C30" i="40" l="1"/>
  <c r="G30" i="40"/>
  <c r="N15" i="40"/>
  <c r="N25" i="40"/>
  <c r="N28" i="40"/>
  <c r="C33" i="40"/>
  <c r="D33" i="40"/>
  <c r="E33" i="40"/>
  <c r="F33" i="40"/>
  <c r="G33" i="40"/>
  <c r="H33" i="40"/>
  <c r="I33" i="40"/>
  <c r="J33" i="40"/>
  <c r="L33" i="40"/>
  <c r="M33" i="40"/>
  <c r="C34" i="40"/>
  <c r="C35" i="40" s="1"/>
  <c r="D34" i="40"/>
  <c r="D35" i="40" s="1"/>
  <c r="E34" i="40"/>
  <c r="E35" i="40" s="1"/>
  <c r="F34" i="40"/>
  <c r="F35" i="40" s="1"/>
  <c r="G34" i="40"/>
  <c r="G35" i="40" s="1"/>
  <c r="H34" i="40"/>
  <c r="H35" i="40" s="1"/>
  <c r="I34" i="40"/>
  <c r="I35" i="40" s="1"/>
  <c r="J34" i="40"/>
  <c r="J35" i="40" s="1"/>
  <c r="L34" i="40"/>
  <c r="L35" i="40" s="1"/>
  <c r="M34" i="40"/>
  <c r="M35" i="40" s="1"/>
  <c r="C37" i="40"/>
  <c r="C39" i="40" s="1"/>
  <c r="D37" i="40"/>
  <c r="D39" i="40" s="1"/>
  <c r="E37" i="40"/>
  <c r="E39" i="40" s="1"/>
  <c r="F37" i="40"/>
  <c r="F39" i="40" s="1"/>
  <c r="G37" i="40"/>
  <c r="G39" i="40" s="1"/>
  <c r="H37" i="40"/>
  <c r="H39" i="40" s="1"/>
  <c r="I37" i="40"/>
  <c r="I39" i="40" s="1"/>
  <c r="J37" i="40"/>
  <c r="J39" i="40" s="1"/>
  <c r="L37" i="40"/>
  <c r="L39" i="40" s="1"/>
  <c r="M37" i="40"/>
  <c r="M39" i="40" s="1"/>
  <c r="F42" i="40"/>
  <c r="K42" i="40"/>
  <c r="D29" i="7" l="1"/>
  <c r="D10" i="26"/>
  <c r="D20" i="26" s="1"/>
  <c r="D27" i="26"/>
  <c r="B47" i="14" l="1"/>
  <c r="C26" i="33"/>
  <c r="D27" i="16"/>
  <c r="D36" i="16" s="1"/>
  <c r="D28" i="16"/>
  <c r="D16" i="7" l="1"/>
  <c r="D17" i="7"/>
  <c r="D17" i="16" l="1"/>
  <c r="D22" i="16" s="1"/>
  <c r="D38" i="16" s="1"/>
  <c r="D36" i="7" l="1"/>
  <c r="D24" i="7"/>
  <c r="D45" i="7"/>
  <c r="C9" i="5" l="1"/>
  <c r="D33" i="26" l="1"/>
  <c r="D36" i="26" s="1"/>
  <c r="C34" i="16" l="1"/>
  <c r="C26" i="16" l="1"/>
  <c r="C34" i="7" l="1"/>
  <c r="D21" i="4" l="1"/>
  <c r="D24" i="15"/>
  <c r="D14" i="15"/>
  <c r="D36" i="15" s="1"/>
  <c r="D29" i="15" l="1"/>
  <c r="D25" i="15"/>
  <c r="D15" i="15"/>
  <c r="C28" i="7" l="1"/>
  <c r="K11" i="6" l="1"/>
  <c r="K9" i="6" l="1"/>
  <c r="B48" i="14" l="1"/>
  <c r="E36" i="4"/>
  <c r="C43" i="7"/>
  <c r="E43" i="7" s="1"/>
  <c r="F43" i="7" s="1"/>
  <c r="K8" i="6"/>
  <c r="C21" i="25"/>
  <c r="E19" i="25"/>
  <c r="D19" i="25"/>
  <c r="E18" i="25"/>
  <c r="D18" i="25"/>
  <c r="E17" i="25"/>
  <c r="D17" i="25"/>
  <c r="E16" i="25"/>
  <c r="D16" i="25"/>
  <c r="E12" i="25"/>
  <c r="D12" i="25"/>
  <c r="C12" i="25"/>
  <c r="E11" i="25"/>
  <c r="D11" i="25"/>
  <c r="C11" i="25"/>
  <c r="E10" i="25"/>
  <c r="D10" i="25"/>
  <c r="C10" i="25"/>
  <c r="E9" i="25"/>
  <c r="D9" i="25"/>
  <c r="C9" i="25"/>
  <c r="E8" i="25"/>
  <c r="D8" i="25"/>
  <c r="C8" i="25"/>
  <c r="C6" i="25"/>
  <c r="C5" i="25"/>
  <c r="C4" i="25"/>
  <c r="E3" i="25"/>
  <c r="D3" i="25"/>
  <c r="C3" i="25"/>
  <c r="H65" i="32"/>
  <c r="G65" i="32"/>
  <c r="F65" i="32"/>
  <c r="E65" i="32"/>
  <c r="D65" i="32"/>
  <c r="C65" i="32"/>
  <c r="B65" i="32"/>
  <c r="H64" i="32"/>
  <c r="G64" i="32"/>
  <c r="F64" i="32"/>
  <c r="E64" i="32"/>
  <c r="D64" i="32"/>
  <c r="C64" i="32"/>
  <c r="B64" i="32"/>
  <c r="H63" i="32"/>
  <c r="G63" i="32"/>
  <c r="F63" i="32"/>
  <c r="E63" i="32"/>
  <c r="D63" i="32"/>
  <c r="C63" i="32"/>
  <c r="B63" i="32"/>
  <c r="H62" i="32"/>
  <c r="G62" i="32"/>
  <c r="F62" i="32"/>
  <c r="E62" i="32"/>
  <c r="D62" i="32"/>
  <c r="C62" i="32"/>
  <c r="B62" i="32"/>
  <c r="H61" i="32"/>
  <c r="G61" i="32"/>
  <c r="F61" i="32"/>
  <c r="E61" i="32"/>
  <c r="D61" i="32"/>
  <c r="C61" i="32"/>
  <c r="B61" i="32"/>
  <c r="H60" i="32"/>
  <c r="G60" i="32"/>
  <c r="F60" i="32"/>
  <c r="E60" i="32"/>
  <c r="D60" i="32"/>
  <c r="C60" i="32"/>
  <c r="B60" i="32"/>
  <c r="H59" i="32"/>
  <c r="G59" i="32"/>
  <c r="F59" i="32"/>
  <c r="E59" i="32"/>
  <c r="D59" i="32"/>
  <c r="C59" i="32"/>
  <c r="B59" i="32"/>
  <c r="H58" i="32"/>
  <c r="G58" i="32"/>
  <c r="F58" i="32"/>
  <c r="E58" i="32"/>
  <c r="D58" i="32"/>
  <c r="C58" i="32"/>
  <c r="B58" i="32"/>
  <c r="H57" i="32"/>
  <c r="G57" i="32"/>
  <c r="F57" i="32"/>
  <c r="E57" i="32"/>
  <c r="D57" i="32"/>
  <c r="C57" i="32"/>
  <c r="B57" i="32"/>
  <c r="H56" i="32"/>
  <c r="G56" i="32"/>
  <c r="F56" i="32"/>
  <c r="E56" i="32"/>
  <c r="D56" i="32"/>
  <c r="C56" i="32"/>
  <c r="B56" i="32"/>
  <c r="H55" i="32"/>
  <c r="G55" i="32"/>
  <c r="F55" i="32"/>
  <c r="E55" i="32"/>
  <c r="D55" i="32"/>
  <c r="C55" i="32"/>
  <c r="B55" i="32"/>
  <c r="H54" i="32"/>
  <c r="G54" i="32"/>
  <c r="F54" i="32"/>
  <c r="E54" i="32"/>
  <c r="D54" i="32"/>
  <c r="C54" i="32"/>
  <c r="B54" i="32"/>
  <c r="H53" i="32"/>
  <c r="G53" i="32"/>
  <c r="F53" i="32"/>
  <c r="E53" i="32"/>
  <c r="D53" i="32"/>
  <c r="C53" i="32"/>
  <c r="B53" i="32"/>
  <c r="H52" i="32"/>
  <c r="G52" i="32"/>
  <c r="F52" i="32"/>
  <c r="E52" i="32"/>
  <c r="D52" i="32"/>
  <c r="C52" i="32"/>
  <c r="B52" i="32"/>
  <c r="H51" i="32"/>
  <c r="G51" i="32"/>
  <c r="F51" i="32"/>
  <c r="E51" i="32"/>
  <c r="D51" i="32"/>
  <c r="C51" i="32"/>
  <c r="B51" i="32"/>
  <c r="H50" i="32"/>
  <c r="G50" i="32"/>
  <c r="F50" i="32"/>
  <c r="E50" i="32"/>
  <c r="D50" i="32"/>
  <c r="C50" i="32"/>
  <c r="B50" i="32"/>
  <c r="H49" i="32"/>
  <c r="G49" i="32"/>
  <c r="F49" i="32"/>
  <c r="E49" i="32"/>
  <c r="D49" i="32"/>
  <c r="C49" i="32"/>
  <c r="B49" i="32"/>
  <c r="H48" i="32"/>
  <c r="G48" i="32"/>
  <c r="F48" i="32"/>
  <c r="E48" i="32"/>
  <c r="D48" i="32"/>
  <c r="C48" i="32"/>
  <c r="B48" i="32"/>
  <c r="H47" i="32"/>
  <c r="G47" i="32"/>
  <c r="F47" i="32"/>
  <c r="E47" i="32"/>
  <c r="D47" i="32"/>
  <c r="C47" i="32"/>
  <c r="B47" i="32"/>
  <c r="H46" i="32"/>
  <c r="G46" i="32"/>
  <c r="F46" i="32"/>
  <c r="E46" i="32"/>
  <c r="D46" i="32"/>
  <c r="C46" i="32"/>
  <c r="B46" i="32"/>
  <c r="H45" i="32"/>
  <c r="G45" i="32"/>
  <c r="F45" i="32"/>
  <c r="E45" i="32"/>
  <c r="D45" i="32"/>
  <c r="C45" i="32"/>
  <c r="B45" i="32"/>
  <c r="H44" i="32"/>
  <c r="G44" i="32"/>
  <c r="F44" i="32"/>
  <c r="E44" i="32"/>
  <c r="D44" i="32"/>
  <c r="C44" i="32"/>
  <c r="B44" i="32"/>
  <c r="H43" i="32"/>
  <c r="G43" i="32"/>
  <c r="F43" i="32"/>
  <c r="E43" i="32"/>
  <c r="D43" i="32"/>
  <c r="C43" i="32"/>
  <c r="B43" i="32"/>
  <c r="H42" i="32"/>
  <c r="G42" i="32"/>
  <c r="F42" i="32"/>
  <c r="E42" i="32"/>
  <c r="D42" i="32"/>
  <c r="C42" i="32"/>
  <c r="B42" i="32"/>
  <c r="H41" i="32"/>
  <c r="G41" i="32"/>
  <c r="F41" i="32"/>
  <c r="E41" i="32"/>
  <c r="D41" i="32"/>
  <c r="C41" i="32"/>
  <c r="B41" i="32"/>
  <c r="H40" i="32"/>
  <c r="G40" i="32"/>
  <c r="F40" i="32"/>
  <c r="E40" i="32"/>
  <c r="D40" i="32"/>
  <c r="C40" i="32"/>
  <c r="B40" i="32"/>
  <c r="H39" i="32"/>
  <c r="G39" i="32"/>
  <c r="F39" i="32"/>
  <c r="E39" i="32"/>
  <c r="D39" i="32"/>
  <c r="C39" i="32"/>
  <c r="B39" i="32"/>
  <c r="H38" i="32"/>
  <c r="G38" i="32"/>
  <c r="F38" i="32"/>
  <c r="E38" i="32"/>
  <c r="D38" i="32"/>
  <c r="C38" i="32"/>
  <c r="B38" i="32"/>
  <c r="H37" i="32"/>
  <c r="G37" i="32"/>
  <c r="F37" i="32"/>
  <c r="E37" i="32"/>
  <c r="D37" i="32"/>
  <c r="C37" i="32"/>
  <c r="B37" i="32"/>
  <c r="H36" i="32"/>
  <c r="G36" i="32"/>
  <c r="F36" i="32"/>
  <c r="E36" i="32"/>
  <c r="D36" i="32"/>
  <c r="C36" i="32"/>
  <c r="B36" i="32"/>
  <c r="H35" i="32"/>
  <c r="G35" i="32"/>
  <c r="F35" i="32"/>
  <c r="E35" i="32"/>
  <c r="D35" i="32"/>
  <c r="C35" i="32"/>
  <c r="B35" i="32"/>
  <c r="H34" i="32"/>
  <c r="G34" i="32"/>
  <c r="F34" i="32"/>
  <c r="E34" i="32"/>
  <c r="D34" i="32"/>
  <c r="C34" i="32"/>
  <c r="B34" i="32"/>
  <c r="H33" i="32"/>
  <c r="G33" i="32"/>
  <c r="F33" i="32"/>
  <c r="E33" i="32"/>
  <c r="D33" i="32"/>
  <c r="C33" i="32"/>
  <c r="B33" i="32"/>
  <c r="H32" i="32"/>
  <c r="G32" i="32"/>
  <c r="F32" i="32"/>
  <c r="E32" i="32"/>
  <c r="D32" i="32"/>
  <c r="C32" i="32"/>
  <c r="B32" i="32"/>
  <c r="H31" i="32"/>
  <c r="G31" i="32"/>
  <c r="F31" i="32"/>
  <c r="E31" i="32"/>
  <c r="D31" i="32"/>
  <c r="C31" i="32"/>
  <c r="B31" i="32"/>
  <c r="H30" i="32"/>
  <c r="G30" i="32"/>
  <c r="F30" i="32"/>
  <c r="E30" i="32"/>
  <c r="D30" i="32"/>
  <c r="C30" i="32"/>
  <c r="B30" i="32"/>
  <c r="H29" i="32"/>
  <c r="G29" i="32"/>
  <c r="F29" i="32"/>
  <c r="E29" i="32"/>
  <c r="D29" i="32"/>
  <c r="C29" i="32"/>
  <c r="B29" i="32"/>
  <c r="H28" i="32"/>
  <c r="G28" i="32"/>
  <c r="F28" i="32"/>
  <c r="E28" i="32"/>
  <c r="D28" i="32"/>
  <c r="C28" i="32"/>
  <c r="B28" i="32"/>
  <c r="H27" i="32"/>
  <c r="G27" i="32"/>
  <c r="F27" i="32"/>
  <c r="E27" i="32"/>
  <c r="D27" i="32"/>
  <c r="C27" i="32"/>
  <c r="B27" i="32"/>
  <c r="H26" i="32"/>
  <c r="G26" i="32"/>
  <c r="F26" i="32"/>
  <c r="E26" i="32"/>
  <c r="D26" i="32"/>
  <c r="C26" i="32"/>
  <c r="B26" i="32"/>
  <c r="A26" i="32"/>
  <c r="H25" i="32"/>
  <c r="G25" i="32"/>
  <c r="F25" i="32"/>
  <c r="E25" i="32"/>
  <c r="D25" i="32"/>
  <c r="C25" i="32"/>
  <c r="B25" i="32"/>
  <c r="H24" i="32"/>
  <c r="G24" i="32"/>
  <c r="F24" i="32"/>
  <c r="E24" i="32"/>
  <c r="D24" i="32"/>
  <c r="C24" i="32"/>
  <c r="B24" i="32"/>
  <c r="A24" i="32"/>
  <c r="H23" i="32"/>
  <c r="G23" i="32"/>
  <c r="F23" i="32"/>
  <c r="E23" i="32"/>
  <c r="D23" i="32"/>
  <c r="C23" i="32"/>
  <c r="B23" i="32"/>
  <c r="A23" i="32"/>
  <c r="H22" i="32"/>
  <c r="G22" i="32"/>
  <c r="F22" i="32"/>
  <c r="E22" i="32"/>
  <c r="D22" i="32"/>
  <c r="C22" i="32"/>
  <c r="B22" i="32"/>
  <c r="A22" i="32"/>
  <c r="H21" i="32"/>
  <c r="G21" i="32"/>
  <c r="F21" i="32"/>
  <c r="E21" i="32"/>
  <c r="D21" i="32"/>
  <c r="C21" i="32"/>
  <c r="B21" i="32"/>
  <c r="A21" i="32"/>
  <c r="H20" i="32"/>
  <c r="G20" i="32"/>
  <c r="F20" i="32"/>
  <c r="E20" i="32"/>
  <c r="D20" i="32"/>
  <c r="C20" i="32"/>
  <c r="B20" i="32"/>
  <c r="A20" i="32"/>
  <c r="H19" i="32"/>
  <c r="G19" i="32"/>
  <c r="F19" i="32"/>
  <c r="E19" i="32"/>
  <c r="D19" i="32"/>
  <c r="C19" i="32"/>
  <c r="B19" i="32"/>
  <c r="A19" i="32"/>
  <c r="H18" i="32"/>
  <c r="G18" i="32"/>
  <c r="F18" i="32"/>
  <c r="E18" i="32"/>
  <c r="D18" i="32"/>
  <c r="C18" i="32"/>
  <c r="B18" i="32"/>
  <c r="H17" i="32"/>
  <c r="G17" i="32"/>
  <c r="F17" i="32"/>
  <c r="E17" i="32"/>
  <c r="D17" i="32"/>
  <c r="C17" i="32"/>
  <c r="B17" i="32"/>
  <c r="A17" i="32"/>
  <c r="H16" i="32"/>
  <c r="G16" i="32"/>
  <c r="F16" i="32"/>
  <c r="E16" i="32"/>
  <c r="D16" i="32"/>
  <c r="C16" i="32"/>
  <c r="B16" i="32"/>
  <c r="A16" i="32"/>
  <c r="H15" i="32"/>
  <c r="G15" i="32"/>
  <c r="F15" i="32"/>
  <c r="E15" i="32"/>
  <c r="D15" i="32"/>
  <c r="C15" i="32"/>
  <c r="B15" i="32"/>
  <c r="A15" i="32"/>
  <c r="H14" i="32"/>
  <c r="G14" i="32"/>
  <c r="F14" i="32"/>
  <c r="E14" i="32"/>
  <c r="D14" i="32"/>
  <c r="C14" i="32"/>
  <c r="B14" i="32"/>
  <c r="A14" i="32"/>
  <c r="H13" i="32"/>
  <c r="G13" i="32"/>
  <c r="F13" i="32"/>
  <c r="E13" i="32"/>
  <c r="D13" i="32"/>
  <c r="C13" i="32"/>
  <c r="B13" i="32"/>
  <c r="A13" i="32"/>
  <c r="H12" i="32"/>
  <c r="G12" i="32"/>
  <c r="F12" i="32"/>
  <c r="E12" i="32"/>
  <c r="D12" i="32"/>
  <c r="C12" i="32"/>
  <c r="B12" i="32"/>
  <c r="A12" i="32"/>
  <c r="H11" i="32"/>
  <c r="G11" i="32"/>
  <c r="F11" i="32"/>
  <c r="E11" i="32"/>
  <c r="D11" i="32"/>
  <c r="C11" i="32"/>
  <c r="B11" i="32"/>
  <c r="A11" i="32"/>
  <c r="H10" i="32"/>
  <c r="G10" i="32"/>
  <c r="F10" i="32"/>
  <c r="E10" i="32"/>
  <c r="D10" i="32"/>
  <c r="C10" i="32"/>
  <c r="B10" i="32"/>
  <c r="A10" i="32"/>
  <c r="H9" i="32"/>
  <c r="G9" i="32"/>
  <c r="F9" i="32"/>
  <c r="E9" i="32"/>
  <c r="D9" i="32"/>
  <c r="C9" i="32"/>
  <c r="B9" i="32"/>
  <c r="A9" i="32"/>
  <c r="H8" i="32"/>
  <c r="G8" i="32"/>
  <c r="F8" i="32"/>
  <c r="E8" i="32"/>
  <c r="D8" i="32"/>
  <c r="C8" i="32"/>
  <c r="B8" i="32"/>
  <c r="A8" i="32"/>
  <c r="H7" i="32"/>
  <c r="G7" i="32"/>
  <c r="F7" i="32"/>
  <c r="E7" i="32"/>
  <c r="D7" i="32"/>
  <c r="C7" i="32"/>
  <c r="B7" i="32"/>
  <c r="A7" i="32"/>
  <c r="A5" i="32"/>
  <c r="F69" i="31"/>
  <c r="E69" i="31"/>
  <c r="D69" i="31"/>
  <c r="C69" i="31"/>
  <c r="B69" i="31"/>
  <c r="F68" i="31"/>
  <c r="E68" i="31"/>
  <c r="D68" i="31"/>
  <c r="C68" i="31"/>
  <c r="B68" i="31"/>
  <c r="A68" i="31"/>
  <c r="F67" i="31"/>
  <c r="E67" i="31"/>
  <c r="D67" i="31"/>
  <c r="C67" i="31"/>
  <c r="A67" i="31"/>
  <c r="F66" i="31"/>
  <c r="E66" i="31"/>
  <c r="D66" i="31"/>
  <c r="C66" i="31"/>
  <c r="B66" i="31"/>
  <c r="A66" i="31"/>
  <c r="F65" i="31"/>
  <c r="E65" i="31"/>
  <c r="D65" i="31"/>
  <c r="C65" i="31"/>
  <c r="B65" i="31"/>
  <c r="A65" i="31"/>
  <c r="F64" i="31"/>
  <c r="E64" i="31"/>
  <c r="D64" i="31"/>
  <c r="C64" i="31"/>
  <c r="B64" i="31"/>
  <c r="A64" i="31"/>
  <c r="F63" i="31"/>
  <c r="E63" i="31"/>
  <c r="D63" i="31"/>
  <c r="C63" i="31"/>
  <c r="B63" i="31"/>
  <c r="A63" i="31"/>
  <c r="F62" i="31"/>
  <c r="E62" i="31"/>
  <c r="D62" i="31"/>
  <c r="C62" i="31"/>
  <c r="B62" i="31"/>
  <c r="A62" i="31"/>
  <c r="F61" i="31"/>
  <c r="E61" i="31"/>
  <c r="D61" i="31"/>
  <c r="C61" i="31"/>
  <c r="B61" i="31"/>
  <c r="A61" i="31"/>
  <c r="F60" i="31"/>
  <c r="E60" i="31"/>
  <c r="D60" i="31"/>
  <c r="C60" i="31"/>
  <c r="B60" i="31"/>
  <c r="A60" i="31"/>
  <c r="F59" i="31"/>
  <c r="E59" i="31"/>
  <c r="D59" i="31"/>
  <c r="C59" i="31"/>
  <c r="B59" i="31"/>
  <c r="A59" i="31"/>
  <c r="F58" i="31"/>
  <c r="E58" i="31"/>
  <c r="D58" i="31"/>
  <c r="C58" i="31"/>
  <c r="B58" i="31"/>
  <c r="A58" i="31"/>
  <c r="F57" i="31"/>
  <c r="E57" i="31"/>
  <c r="D57" i="31"/>
  <c r="C57" i="31"/>
  <c r="B57" i="31"/>
  <c r="A57" i="31"/>
  <c r="F56" i="31"/>
  <c r="E56" i="31"/>
  <c r="D56" i="31"/>
  <c r="C56" i="31"/>
  <c r="B56" i="31"/>
  <c r="A56" i="31"/>
  <c r="F55" i="31"/>
  <c r="E55" i="31"/>
  <c r="D55" i="31"/>
  <c r="C55" i="31"/>
  <c r="B55" i="31"/>
  <c r="A55" i="31"/>
  <c r="F54" i="31"/>
  <c r="E54" i="31"/>
  <c r="D54" i="31"/>
  <c r="C54" i="31"/>
  <c r="B54" i="31"/>
  <c r="A54" i="31"/>
  <c r="F53" i="31"/>
  <c r="E53" i="31"/>
  <c r="D53" i="31"/>
  <c r="C53" i="31"/>
  <c r="B53" i="31"/>
  <c r="A53" i="31"/>
  <c r="F52" i="31"/>
  <c r="E52" i="31"/>
  <c r="D52" i="31"/>
  <c r="C52" i="31"/>
  <c r="B52" i="31"/>
  <c r="A52" i="31"/>
  <c r="F51" i="31"/>
  <c r="E51" i="31"/>
  <c r="D51" i="31"/>
  <c r="C51" i="31"/>
  <c r="B51" i="31"/>
  <c r="A51" i="31"/>
  <c r="F50" i="31"/>
  <c r="E50" i="31"/>
  <c r="D50" i="31"/>
  <c r="C50" i="31"/>
  <c r="B50" i="31"/>
  <c r="A50" i="31"/>
  <c r="F49" i="31"/>
  <c r="E49" i="31"/>
  <c r="D49" i="31"/>
  <c r="C49" i="31"/>
  <c r="B49" i="31"/>
  <c r="A49" i="31"/>
  <c r="F48" i="31"/>
  <c r="E48" i="31"/>
  <c r="D48" i="31"/>
  <c r="C48" i="31"/>
  <c r="B48" i="31"/>
  <c r="A48" i="31"/>
  <c r="F47" i="31"/>
  <c r="E47" i="31"/>
  <c r="D47" i="31"/>
  <c r="C47" i="31"/>
  <c r="B47" i="31"/>
  <c r="A47" i="31"/>
  <c r="F46" i="31"/>
  <c r="E46" i="31"/>
  <c r="D46" i="31"/>
  <c r="C46" i="31"/>
  <c r="B46" i="31"/>
  <c r="A46" i="31"/>
  <c r="F45" i="31"/>
  <c r="E45" i="31"/>
  <c r="D45" i="31"/>
  <c r="C45" i="31"/>
  <c r="B45" i="31"/>
  <c r="A45" i="31"/>
  <c r="F44" i="31"/>
  <c r="E44" i="31"/>
  <c r="D44" i="31"/>
  <c r="C44" i="31"/>
  <c r="B44" i="31"/>
  <c r="A44" i="31"/>
  <c r="F43" i="31"/>
  <c r="E43" i="31"/>
  <c r="D43" i="31"/>
  <c r="C43" i="31"/>
  <c r="B43" i="31"/>
  <c r="A43" i="31"/>
  <c r="F42" i="31"/>
  <c r="E42" i="31"/>
  <c r="D42" i="31"/>
  <c r="C42" i="31"/>
  <c r="B42" i="31"/>
  <c r="A42" i="31"/>
  <c r="F41" i="31"/>
  <c r="E41" i="31"/>
  <c r="D41" i="31"/>
  <c r="C41" i="31"/>
  <c r="B41" i="31"/>
  <c r="A41" i="31"/>
  <c r="F40" i="31"/>
  <c r="E40" i="31"/>
  <c r="D40" i="31"/>
  <c r="C40" i="31"/>
  <c r="B40" i="31"/>
  <c r="A40" i="31"/>
  <c r="F39" i="31"/>
  <c r="E39" i="31"/>
  <c r="D39" i="31"/>
  <c r="C39" i="31"/>
  <c r="B39" i="31"/>
  <c r="A39" i="31"/>
  <c r="F38" i="31"/>
  <c r="E38" i="31"/>
  <c r="D38" i="31"/>
  <c r="C38" i="31"/>
  <c r="B38" i="31"/>
  <c r="A38" i="31"/>
  <c r="F37" i="31"/>
  <c r="E37" i="31"/>
  <c r="D37" i="31"/>
  <c r="C37" i="31"/>
  <c r="B37" i="31"/>
  <c r="A37" i="31"/>
  <c r="F36" i="31"/>
  <c r="E36" i="31"/>
  <c r="D36" i="31"/>
  <c r="C36" i="31"/>
  <c r="B36" i="31"/>
  <c r="A36" i="31"/>
  <c r="F35" i="31"/>
  <c r="E35" i="31"/>
  <c r="D35" i="31"/>
  <c r="C35" i="31"/>
  <c r="B35" i="31"/>
  <c r="A35" i="31"/>
  <c r="F34" i="31"/>
  <c r="E34" i="31"/>
  <c r="D34" i="31"/>
  <c r="C34" i="31"/>
  <c r="B34" i="31"/>
  <c r="A34" i="31"/>
  <c r="F33" i="31"/>
  <c r="E33" i="31"/>
  <c r="D33" i="31"/>
  <c r="C33" i="31"/>
  <c r="B33" i="31"/>
  <c r="A33" i="31"/>
  <c r="F32" i="31"/>
  <c r="E32" i="31"/>
  <c r="D32" i="31"/>
  <c r="C32" i="31"/>
  <c r="B32" i="31"/>
  <c r="A32" i="31"/>
  <c r="F31" i="31"/>
  <c r="E31" i="31"/>
  <c r="D31" i="31"/>
  <c r="C31" i="31"/>
  <c r="B31" i="31"/>
  <c r="A31" i="31"/>
  <c r="F30" i="31"/>
  <c r="E30" i="31"/>
  <c r="D30" i="31"/>
  <c r="C30" i="31"/>
  <c r="B30" i="31"/>
  <c r="A30" i="31"/>
  <c r="F29" i="31"/>
  <c r="E29" i="31"/>
  <c r="D29" i="31"/>
  <c r="C29" i="31"/>
  <c r="B29" i="31"/>
  <c r="A29" i="31"/>
  <c r="F28" i="31"/>
  <c r="E28" i="31"/>
  <c r="D28" i="31"/>
  <c r="C28" i="31"/>
  <c r="B28" i="31"/>
  <c r="A28" i="31"/>
  <c r="F27" i="31"/>
  <c r="E27" i="31"/>
  <c r="D27" i="31"/>
  <c r="C27" i="31"/>
  <c r="B27" i="31"/>
  <c r="A27" i="31"/>
  <c r="F26" i="31"/>
  <c r="E26" i="31"/>
  <c r="D26" i="31"/>
  <c r="C26" i="31"/>
  <c r="B26" i="31"/>
  <c r="A26" i="31"/>
  <c r="F25" i="31"/>
  <c r="E25" i="31"/>
  <c r="D25" i="31"/>
  <c r="C25" i="31"/>
  <c r="B25" i="31"/>
  <c r="A25" i="31"/>
  <c r="F24" i="31"/>
  <c r="E24" i="31"/>
  <c r="D24" i="31"/>
  <c r="C24" i="31"/>
  <c r="B24" i="31"/>
  <c r="A24" i="31"/>
  <c r="F23" i="31"/>
  <c r="E23" i="31"/>
  <c r="D23" i="31"/>
  <c r="C23" i="31"/>
  <c r="B23" i="31"/>
  <c r="A23" i="31"/>
  <c r="F22" i="31"/>
  <c r="E22" i="31"/>
  <c r="D22" i="31"/>
  <c r="C22" i="31"/>
  <c r="B22" i="31"/>
  <c r="A22" i="31"/>
  <c r="F21" i="31"/>
  <c r="E21" i="31"/>
  <c r="D21" i="31"/>
  <c r="C21" i="31"/>
  <c r="B21" i="31"/>
  <c r="A21" i="31"/>
  <c r="F20" i="31"/>
  <c r="E20" i="31"/>
  <c r="D20" i="31"/>
  <c r="C20" i="31"/>
  <c r="B20" i="31"/>
  <c r="A20" i="31"/>
  <c r="F19" i="31"/>
  <c r="E19" i="31"/>
  <c r="D19" i="31"/>
  <c r="C19" i="31"/>
  <c r="B19" i="31"/>
  <c r="A19" i="31"/>
  <c r="F18" i="31"/>
  <c r="E18" i="31"/>
  <c r="D18" i="31"/>
  <c r="C18" i="31"/>
  <c r="B18" i="31"/>
  <c r="A18" i="31"/>
  <c r="F17" i="31"/>
  <c r="E17" i="31"/>
  <c r="D17" i="31"/>
  <c r="C17" i="31"/>
  <c r="B17" i="31"/>
  <c r="A17" i="31"/>
  <c r="F16" i="31"/>
  <c r="E16" i="31"/>
  <c r="D16" i="31"/>
  <c r="C16" i="31"/>
  <c r="B16" i="31"/>
  <c r="A16" i="31"/>
  <c r="F15" i="31"/>
  <c r="E15" i="31"/>
  <c r="D15" i="31"/>
  <c r="C15" i="31"/>
  <c r="B15" i="31"/>
  <c r="A15" i="31"/>
  <c r="F14" i="31"/>
  <c r="E14" i="31"/>
  <c r="D14" i="31"/>
  <c r="C14" i="31"/>
  <c r="B14" i="31"/>
  <c r="A14" i="31"/>
  <c r="F13" i="31"/>
  <c r="E13" i="31"/>
  <c r="D13" i="31"/>
  <c r="C13" i="31"/>
  <c r="B13" i="31"/>
  <c r="A13" i="31"/>
  <c r="F12" i="31"/>
  <c r="E12" i="31"/>
  <c r="D12" i="31"/>
  <c r="C12" i="31"/>
  <c r="B12" i="31"/>
  <c r="A12" i="31"/>
  <c r="F11" i="31"/>
  <c r="E11" i="31"/>
  <c r="D11" i="31"/>
  <c r="C11" i="31"/>
  <c r="B11" i="31"/>
  <c r="A11" i="31"/>
  <c r="F10" i="31"/>
  <c r="E10" i="31"/>
  <c r="D10" i="31"/>
  <c r="C10" i="31"/>
  <c r="B10" i="31"/>
  <c r="A10" i="31"/>
  <c r="A7" i="31"/>
  <c r="D6" i="31"/>
  <c r="C6" i="31"/>
  <c r="F5" i="31"/>
  <c r="D5" i="31"/>
  <c r="C5" i="31"/>
  <c r="F4" i="31"/>
  <c r="D4" i="31"/>
  <c r="C4" i="31"/>
  <c r="B70" i="30"/>
  <c r="AC67" i="30"/>
  <c r="AB67" i="30"/>
  <c r="AA67" i="30"/>
  <c r="Z67" i="30"/>
  <c r="Y67" i="30"/>
  <c r="X67" i="30"/>
  <c r="W67" i="30"/>
  <c r="V67" i="30"/>
  <c r="U67" i="30"/>
  <c r="T67" i="30"/>
  <c r="S67" i="30"/>
  <c r="R67" i="30"/>
  <c r="Q67" i="30"/>
  <c r="P67" i="30"/>
  <c r="O67" i="30"/>
  <c r="N67" i="30"/>
  <c r="M67" i="30"/>
  <c r="L67" i="30"/>
  <c r="K67" i="30"/>
  <c r="J67" i="30"/>
  <c r="I67" i="30"/>
  <c r="H67" i="30"/>
  <c r="G67" i="30"/>
  <c r="F67" i="30"/>
  <c r="E67" i="30"/>
  <c r="D67" i="30"/>
  <c r="C67" i="30"/>
  <c r="B67" i="30"/>
  <c r="AC66" i="30"/>
  <c r="AB66" i="30"/>
  <c r="AA66" i="30"/>
  <c r="Z66" i="30"/>
  <c r="Y66" i="30"/>
  <c r="X66" i="30"/>
  <c r="W66" i="30"/>
  <c r="V66" i="30"/>
  <c r="U66" i="30"/>
  <c r="T66" i="30"/>
  <c r="S66" i="30"/>
  <c r="R66" i="30"/>
  <c r="Q66" i="30"/>
  <c r="P66" i="30"/>
  <c r="O66" i="30"/>
  <c r="N66" i="30"/>
  <c r="M66" i="30"/>
  <c r="L66" i="30"/>
  <c r="K66" i="30"/>
  <c r="J66" i="30"/>
  <c r="I66" i="30"/>
  <c r="H66" i="30"/>
  <c r="G66" i="30"/>
  <c r="F66" i="30"/>
  <c r="E66" i="30"/>
  <c r="D66" i="30"/>
  <c r="C66" i="30"/>
  <c r="B66" i="30"/>
  <c r="AC65" i="30"/>
  <c r="AB65" i="30"/>
  <c r="AA65" i="30"/>
  <c r="Z65" i="30"/>
  <c r="Y65" i="30"/>
  <c r="X65" i="30"/>
  <c r="W65" i="30"/>
  <c r="V65" i="30"/>
  <c r="U65" i="30"/>
  <c r="T65" i="30"/>
  <c r="S65" i="30"/>
  <c r="R65" i="30"/>
  <c r="Q65" i="30"/>
  <c r="P65" i="30"/>
  <c r="O65" i="30"/>
  <c r="N65" i="30"/>
  <c r="M65" i="30"/>
  <c r="L65" i="30"/>
  <c r="K65" i="30"/>
  <c r="J65" i="30"/>
  <c r="I65" i="30"/>
  <c r="H65" i="30"/>
  <c r="G65" i="30"/>
  <c r="F65" i="30"/>
  <c r="E65" i="30"/>
  <c r="D65" i="30"/>
  <c r="C65" i="30"/>
  <c r="B65" i="30"/>
  <c r="AC64" i="30"/>
  <c r="AB64" i="30"/>
  <c r="AA64" i="30"/>
  <c r="Z64" i="30"/>
  <c r="Y64" i="30"/>
  <c r="X64" i="30"/>
  <c r="W64" i="30"/>
  <c r="V64" i="30"/>
  <c r="U64" i="30"/>
  <c r="T64" i="30"/>
  <c r="S64" i="30"/>
  <c r="R64" i="30"/>
  <c r="Q64" i="30"/>
  <c r="P64" i="30"/>
  <c r="O64" i="30"/>
  <c r="N64" i="30"/>
  <c r="M64" i="30"/>
  <c r="L64" i="30"/>
  <c r="K64" i="30"/>
  <c r="J64" i="30"/>
  <c r="I64" i="30"/>
  <c r="H64" i="30"/>
  <c r="G64" i="30"/>
  <c r="F64" i="30"/>
  <c r="E64" i="30"/>
  <c r="D64" i="30"/>
  <c r="C64" i="30"/>
  <c r="B64" i="30"/>
  <c r="AC63" i="30"/>
  <c r="AB63" i="30"/>
  <c r="AA63" i="30"/>
  <c r="Z63" i="30"/>
  <c r="Y63" i="30"/>
  <c r="X63" i="30"/>
  <c r="W63" i="30"/>
  <c r="V63" i="30"/>
  <c r="U63" i="30"/>
  <c r="T63" i="30"/>
  <c r="S63" i="30"/>
  <c r="R63" i="30"/>
  <c r="Q63" i="30"/>
  <c r="P63" i="30"/>
  <c r="O63" i="30"/>
  <c r="N63" i="30"/>
  <c r="M63" i="30"/>
  <c r="L63" i="30"/>
  <c r="K63" i="30"/>
  <c r="J63" i="30"/>
  <c r="I63" i="30"/>
  <c r="H63" i="30"/>
  <c r="G63" i="30"/>
  <c r="F63" i="30"/>
  <c r="E63" i="30"/>
  <c r="D63" i="30"/>
  <c r="C63" i="30"/>
  <c r="B63" i="30"/>
  <c r="AC62" i="30"/>
  <c r="AB62" i="30"/>
  <c r="AA62" i="30"/>
  <c r="Z62" i="30"/>
  <c r="Y62" i="30"/>
  <c r="X62" i="30"/>
  <c r="W62" i="30"/>
  <c r="V62" i="30"/>
  <c r="U62" i="30"/>
  <c r="T62" i="30"/>
  <c r="S62" i="30"/>
  <c r="R62" i="30"/>
  <c r="Q62" i="30"/>
  <c r="P62" i="30"/>
  <c r="O62" i="30"/>
  <c r="N62" i="30"/>
  <c r="M62" i="30"/>
  <c r="L62" i="30"/>
  <c r="K62" i="30"/>
  <c r="J62" i="30"/>
  <c r="I62" i="30"/>
  <c r="H62" i="30"/>
  <c r="G62" i="30"/>
  <c r="F62" i="30"/>
  <c r="E62" i="30"/>
  <c r="D62" i="30"/>
  <c r="C62" i="30"/>
  <c r="B62"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C61" i="30"/>
  <c r="B61" i="30"/>
  <c r="AC60" i="30"/>
  <c r="AB60" i="30"/>
  <c r="AA60" i="30"/>
  <c r="Z60" i="30"/>
  <c r="Y60" i="30"/>
  <c r="X60" i="30"/>
  <c r="W60" i="30"/>
  <c r="V60" i="30"/>
  <c r="U60" i="30"/>
  <c r="T60" i="30"/>
  <c r="S60" i="30"/>
  <c r="R60" i="30"/>
  <c r="Q60" i="30"/>
  <c r="P60" i="30"/>
  <c r="O60" i="30"/>
  <c r="N60" i="30"/>
  <c r="M60" i="30"/>
  <c r="L60" i="30"/>
  <c r="K60" i="30"/>
  <c r="J60" i="30"/>
  <c r="I60" i="30"/>
  <c r="H60" i="30"/>
  <c r="G60" i="30"/>
  <c r="F60" i="30"/>
  <c r="E60" i="30"/>
  <c r="D60" i="30"/>
  <c r="C60" i="30"/>
  <c r="B60" i="30"/>
  <c r="AC59" i="30"/>
  <c r="AB59" i="30"/>
  <c r="AA59" i="30"/>
  <c r="Z59" i="30"/>
  <c r="Y59" i="30"/>
  <c r="X59" i="30"/>
  <c r="W59" i="30"/>
  <c r="V59" i="30"/>
  <c r="U59" i="30"/>
  <c r="T59" i="30"/>
  <c r="S59" i="30"/>
  <c r="R59" i="30"/>
  <c r="Q59" i="30"/>
  <c r="P59" i="30"/>
  <c r="O59" i="30"/>
  <c r="N59" i="30"/>
  <c r="M59" i="30"/>
  <c r="L59" i="30"/>
  <c r="K59" i="30"/>
  <c r="J59" i="30"/>
  <c r="I59" i="30"/>
  <c r="H59" i="30"/>
  <c r="G59" i="30"/>
  <c r="F59" i="30"/>
  <c r="E59" i="30"/>
  <c r="D59" i="30"/>
  <c r="C59" i="30"/>
  <c r="B59" i="30"/>
  <c r="AC58" i="30"/>
  <c r="AB58" i="30"/>
  <c r="AA58" i="30"/>
  <c r="Z58" i="30"/>
  <c r="Y58" i="30"/>
  <c r="X58" i="30"/>
  <c r="W58" i="30"/>
  <c r="V58" i="30"/>
  <c r="U58" i="30"/>
  <c r="T58" i="30"/>
  <c r="S58" i="30"/>
  <c r="R58" i="30"/>
  <c r="Q58" i="30"/>
  <c r="P58" i="30"/>
  <c r="O58" i="30"/>
  <c r="N58" i="30"/>
  <c r="M58" i="30"/>
  <c r="L58" i="30"/>
  <c r="K58" i="30"/>
  <c r="J58" i="30"/>
  <c r="I58" i="30"/>
  <c r="H58" i="30"/>
  <c r="G58" i="30"/>
  <c r="F58" i="30"/>
  <c r="E58" i="30"/>
  <c r="D58" i="30"/>
  <c r="C58" i="30"/>
  <c r="B58" i="30"/>
  <c r="AC57" i="30"/>
  <c r="AB57" i="30"/>
  <c r="AA57" i="30"/>
  <c r="Z57" i="30"/>
  <c r="Y57" i="30"/>
  <c r="X57" i="30"/>
  <c r="W57" i="30"/>
  <c r="V57" i="30"/>
  <c r="U57" i="30"/>
  <c r="T57" i="30"/>
  <c r="S57" i="30"/>
  <c r="R57" i="30"/>
  <c r="Q57" i="30"/>
  <c r="P57" i="30"/>
  <c r="O57" i="30"/>
  <c r="N57" i="30"/>
  <c r="M57" i="30"/>
  <c r="L57" i="30"/>
  <c r="K57" i="30"/>
  <c r="J57" i="30"/>
  <c r="I57" i="30"/>
  <c r="H57" i="30"/>
  <c r="G57" i="30"/>
  <c r="F57" i="30"/>
  <c r="E57" i="30"/>
  <c r="D57" i="30"/>
  <c r="C57" i="30"/>
  <c r="B57" i="30"/>
  <c r="AC56" i="30"/>
  <c r="AB56" i="30"/>
  <c r="AA56" i="30"/>
  <c r="Z56" i="30"/>
  <c r="Y56" i="30"/>
  <c r="X56" i="30"/>
  <c r="W56" i="30"/>
  <c r="V56" i="30"/>
  <c r="U56" i="30"/>
  <c r="T56" i="30"/>
  <c r="S56" i="30"/>
  <c r="R56" i="30"/>
  <c r="Q56" i="30"/>
  <c r="P56" i="30"/>
  <c r="O56" i="30"/>
  <c r="N56" i="30"/>
  <c r="M56" i="30"/>
  <c r="L56" i="30"/>
  <c r="K56" i="30"/>
  <c r="J56" i="30"/>
  <c r="I56" i="30"/>
  <c r="H56" i="30"/>
  <c r="G56" i="30"/>
  <c r="F56" i="30"/>
  <c r="E56" i="30"/>
  <c r="D56" i="30"/>
  <c r="C56" i="30"/>
  <c r="B56" i="30"/>
  <c r="AC55" i="30"/>
  <c r="AB55" i="30"/>
  <c r="AA55" i="30"/>
  <c r="Z55" i="30"/>
  <c r="Y55" i="30"/>
  <c r="X55" i="30"/>
  <c r="W55" i="30"/>
  <c r="V55" i="30"/>
  <c r="U55" i="30"/>
  <c r="T55" i="30"/>
  <c r="S55" i="30"/>
  <c r="R55" i="30"/>
  <c r="Q55" i="30"/>
  <c r="P55" i="30"/>
  <c r="O55" i="30"/>
  <c r="N55" i="30"/>
  <c r="M55" i="30"/>
  <c r="L55" i="30"/>
  <c r="K55" i="30"/>
  <c r="J55" i="30"/>
  <c r="I55" i="30"/>
  <c r="H55" i="30"/>
  <c r="G55" i="30"/>
  <c r="F55" i="30"/>
  <c r="E55" i="30"/>
  <c r="D55" i="30"/>
  <c r="C55" i="30"/>
  <c r="B55" i="30"/>
  <c r="AC54" i="30"/>
  <c r="AB54" i="30"/>
  <c r="AA54" i="30"/>
  <c r="Z54" i="30"/>
  <c r="Y54" i="30"/>
  <c r="X54" i="30"/>
  <c r="W54" i="30"/>
  <c r="V54" i="30"/>
  <c r="U54" i="30"/>
  <c r="T54" i="30"/>
  <c r="S54" i="30"/>
  <c r="R54" i="30"/>
  <c r="Q54" i="30"/>
  <c r="P54" i="30"/>
  <c r="O54" i="30"/>
  <c r="N54" i="30"/>
  <c r="M54" i="30"/>
  <c r="L54" i="30"/>
  <c r="K54" i="30"/>
  <c r="J54" i="30"/>
  <c r="I54" i="30"/>
  <c r="H54" i="30"/>
  <c r="G54" i="30"/>
  <c r="F54" i="30"/>
  <c r="E54" i="30"/>
  <c r="D54" i="30"/>
  <c r="C54" i="30"/>
  <c r="B54" i="30"/>
  <c r="AC53" i="30"/>
  <c r="AB53" i="30"/>
  <c r="AA53" i="30"/>
  <c r="Z53" i="30"/>
  <c r="Y53" i="30"/>
  <c r="X53" i="30"/>
  <c r="W53" i="30"/>
  <c r="V53" i="30"/>
  <c r="U53" i="30"/>
  <c r="T53" i="30"/>
  <c r="S53" i="30"/>
  <c r="R53" i="30"/>
  <c r="Q53" i="30"/>
  <c r="P53" i="30"/>
  <c r="O53" i="30"/>
  <c r="N53" i="30"/>
  <c r="M53" i="30"/>
  <c r="L53" i="30"/>
  <c r="K53" i="30"/>
  <c r="J53" i="30"/>
  <c r="I53" i="30"/>
  <c r="H53" i="30"/>
  <c r="G53" i="30"/>
  <c r="F53" i="30"/>
  <c r="E53" i="30"/>
  <c r="D53" i="30"/>
  <c r="C53" i="30"/>
  <c r="B53" i="30"/>
  <c r="AC52" i="30"/>
  <c r="AB52" i="30"/>
  <c r="AA52" i="30"/>
  <c r="Z52" i="30"/>
  <c r="Y52" i="30"/>
  <c r="X52" i="30"/>
  <c r="W52" i="30"/>
  <c r="V52" i="30"/>
  <c r="U52" i="30"/>
  <c r="T52" i="30"/>
  <c r="S52" i="30"/>
  <c r="R52" i="30"/>
  <c r="Q52" i="30"/>
  <c r="P52" i="30"/>
  <c r="O52" i="30"/>
  <c r="N52" i="30"/>
  <c r="M52" i="30"/>
  <c r="L52" i="30"/>
  <c r="K52" i="30"/>
  <c r="J52" i="30"/>
  <c r="I52" i="30"/>
  <c r="H52" i="30"/>
  <c r="G52" i="30"/>
  <c r="F52" i="30"/>
  <c r="E52" i="30"/>
  <c r="D52" i="30"/>
  <c r="C52" i="30"/>
  <c r="B52" i="30"/>
  <c r="AC51" i="30"/>
  <c r="AB51" i="30"/>
  <c r="AA51" i="30"/>
  <c r="Z51" i="30"/>
  <c r="Y51" i="30"/>
  <c r="X51" i="30"/>
  <c r="W51" i="30"/>
  <c r="V51" i="30"/>
  <c r="U51" i="30"/>
  <c r="T51" i="30"/>
  <c r="S51" i="30"/>
  <c r="R51" i="30"/>
  <c r="Q51" i="30"/>
  <c r="P51" i="30"/>
  <c r="O51" i="30"/>
  <c r="N51" i="30"/>
  <c r="M51" i="30"/>
  <c r="L51" i="30"/>
  <c r="K51" i="30"/>
  <c r="J51" i="30"/>
  <c r="I51" i="30"/>
  <c r="H51" i="30"/>
  <c r="G51" i="30"/>
  <c r="F51" i="30"/>
  <c r="E51" i="30"/>
  <c r="D51" i="30"/>
  <c r="C51" i="30"/>
  <c r="B51" i="30"/>
  <c r="AC50" i="30"/>
  <c r="AB50" i="30"/>
  <c r="AA50" i="30"/>
  <c r="Z50" i="30"/>
  <c r="Y50" i="30"/>
  <c r="X50" i="30"/>
  <c r="W50" i="30"/>
  <c r="V50" i="30"/>
  <c r="U50" i="30"/>
  <c r="T50" i="30"/>
  <c r="S50" i="30"/>
  <c r="R50" i="30"/>
  <c r="Q50" i="30"/>
  <c r="P50" i="30"/>
  <c r="O50" i="30"/>
  <c r="N50" i="30"/>
  <c r="M50" i="30"/>
  <c r="L50" i="30"/>
  <c r="K50" i="30"/>
  <c r="J50" i="30"/>
  <c r="I50" i="30"/>
  <c r="H50" i="30"/>
  <c r="G50" i="30"/>
  <c r="F50" i="30"/>
  <c r="E50" i="30"/>
  <c r="D50" i="30"/>
  <c r="C50" i="30"/>
  <c r="B50" i="30"/>
  <c r="AC49" i="30"/>
  <c r="AB49" i="30"/>
  <c r="AA49" i="30"/>
  <c r="Z49" i="30"/>
  <c r="Y49" i="30"/>
  <c r="X49" i="30"/>
  <c r="W49" i="30"/>
  <c r="V49" i="30"/>
  <c r="U49" i="30"/>
  <c r="T49" i="30"/>
  <c r="S49" i="30"/>
  <c r="R49" i="30"/>
  <c r="Q49" i="30"/>
  <c r="P49" i="30"/>
  <c r="O49" i="30"/>
  <c r="N49" i="30"/>
  <c r="M49" i="30"/>
  <c r="L49" i="30"/>
  <c r="K49" i="30"/>
  <c r="J49" i="30"/>
  <c r="I49" i="30"/>
  <c r="H49" i="30"/>
  <c r="G49" i="30"/>
  <c r="F49" i="30"/>
  <c r="E49" i="30"/>
  <c r="D49" i="30"/>
  <c r="C49" i="30"/>
  <c r="B49" i="30"/>
  <c r="AC48" i="30"/>
  <c r="AB48" i="30"/>
  <c r="AA48" i="30"/>
  <c r="Z48" i="30"/>
  <c r="Y48" i="30"/>
  <c r="X48" i="30"/>
  <c r="W48" i="30"/>
  <c r="V48" i="30"/>
  <c r="U48" i="30"/>
  <c r="T48" i="30"/>
  <c r="S48" i="30"/>
  <c r="R48" i="30"/>
  <c r="Q48" i="30"/>
  <c r="P48" i="30"/>
  <c r="O48" i="30"/>
  <c r="N48" i="30"/>
  <c r="M48" i="30"/>
  <c r="L48" i="30"/>
  <c r="K48" i="30"/>
  <c r="J48" i="30"/>
  <c r="I48" i="30"/>
  <c r="H48" i="30"/>
  <c r="G48" i="30"/>
  <c r="F48" i="30"/>
  <c r="E48" i="30"/>
  <c r="D48" i="30"/>
  <c r="C48" i="30"/>
  <c r="B48" i="30"/>
  <c r="AC47" i="30"/>
  <c r="AB47" i="30"/>
  <c r="AA47" i="30"/>
  <c r="Z47" i="30"/>
  <c r="Y47" i="30"/>
  <c r="X47" i="30"/>
  <c r="W47" i="30"/>
  <c r="V47" i="30"/>
  <c r="U47" i="30"/>
  <c r="T47" i="30"/>
  <c r="S47" i="30"/>
  <c r="R47" i="30"/>
  <c r="Q47" i="30"/>
  <c r="P47" i="30"/>
  <c r="O47" i="30"/>
  <c r="N47" i="30"/>
  <c r="M47" i="30"/>
  <c r="L47" i="30"/>
  <c r="K47" i="30"/>
  <c r="J47" i="30"/>
  <c r="I47" i="30"/>
  <c r="H47" i="30"/>
  <c r="G47" i="30"/>
  <c r="F47" i="30"/>
  <c r="E47" i="30"/>
  <c r="D47" i="30"/>
  <c r="C47" i="30"/>
  <c r="B47" i="30"/>
  <c r="AC46" i="30"/>
  <c r="AB46" i="30"/>
  <c r="AA46" i="30"/>
  <c r="Z46" i="30"/>
  <c r="Y46" i="30"/>
  <c r="X46" i="30"/>
  <c r="W46" i="30"/>
  <c r="V46" i="30"/>
  <c r="U46" i="30"/>
  <c r="T46" i="30"/>
  <c r="S46" i="30"/>
  <c r="R46" i="30"/>
  <c r="Q46" i="30"/>
  <c r="P46" i="30"/>
  <c r="O46" i="30"/>
  <c r="N46" i="30"/>
  <c r="M46" i="30"/>
  <c r="L46" i="30"/>
  <c r="K46" i="30"/>
  <c r="J46" i="30"/>
  <c r="I46" i="30"/>
  <c r="H46" i="30"/>
  <c r="G46" i="30"/>
  <c r="F46" i="30"/>
  <c r="E46" i="30"/>
  <c r="D46" i="30"/>
  <c r="C46" i="30"/>
  <c r="B46" i="30"/>
  <c r="AC45" i="30"/>
  <c r="AB45" i="30"/>
  <c r="AA45" i="30"/>
  <c r="Z45" i="30"/>
  <c r="Y45" i="30"/>
  <c r="X45" i="30"/>
  <c r="W45" i="30"/>
  <c r="V45" i="30"/>
  <c r="U45" i="30"/>
  <c r="T45" i="30"/>
  <c r="S45" i="30"/>
  <c r="R45" i="30"/>
  <c r="Q45" i="30"/>
  <c r="P45" i="30"/>
  <c r="O45" i="30"/>
  <c r="N45" i="30"/>
  <c r="M45" i="30"/>
  <c r="L45" i="30"/>
  <c r="K45" i="30"/>
  <c r="J45" i="30"/>
  <c r="I45" i="30"/>
  <c r="H45" i="30"/>
  <c r="G45" i="30"/>
  <c r="F45" i="30"/>
  <c r="E45" i="30"/>
  <c r="D45" i="30"/>
  <c r="C45" i="30"/>
  <c r="B45" i="30"/>
  <c r="AC44" i="30"/>
  <c r="AB44" i="30"/>
  <c r="AA44" i="30"/>
  <c r="Z44" i="30"/>
  <c r="Y44" i="30"/>
  <c r="X44" i="30"/>
  <c r="W44" i="30"/>
  <c r="V44" i="30"/>
  <c r="U44" i="30"/>
  <c r="T44" i="30"/>
  <c r="S44" i="30"/>
  <c r="R44" i="30"/>
  <c r="Q44" i="30"/>
  <c r="P44" i="30"/>
  <c r="O44" i="30"/>
  <c r="N44" i="30"/>
  <c r="M44" i="30"/>
  <c r="L44" i="30"/>
  <c r="K44" i="30"/>
  <c r="J44" i="30"/>
  <c r="I44" i="30"/>
  <c r="H44" i="30"/>
  <c r="G44" i="30"/>
  <c r="F44" i="30"/>
  <c r="E44" i="30"/>
  <c r="D44" i="30"/>
  <c r="C44" i="30"/>
  <c r="B44" i="30"/>
  <c r="AC43" i="30"/>
  <c r="AB43" i="30"/>
  <c r="AA43" i="30"/>
  <c r="Z43" i="30"/>
  <c r="Y43" i="30"/>
  <c r="X43" i="30"/>
  <c r="W43" i="30"/>
  <c r="V43" i="30"/>
  <c r="U43" i="30"/>
  <c r="T43" i="30"/>
  <c r="S43" i="30"/>
  <c r="R43" i="30"/>
  <c r="Q43" i="30"/>
  <c r="P43" i="30"/>
  <c r="O43" i="30"/>
  <c r="N43" i="30"/>
  <c r="M43" i="30"/>
  <c r="L43" i="30"/>
  <c r="K43" i="30"/>
  <c r="J43" i="30"/>
  <c r="I43" i="30"/>
  <c r="H43" i="30"/>
  <c r="G43" i="30"/>
  <c r="F43" i="30"/>
  <c r="E43" i="30"/>
  <c r="D43" i="30"/>
  <c r="C43" i="30"/>
  <c r="B43" i="30"/>
  <c r="AC42" i="30"/>
  <c r="AB42" i="30"/>
  <c r="AA42" i="30"/>
  <c r="Z42" i="30"/>
  <c r="Y42" i="30"/>
  <c r="X42" i="30"/>
  <c r="W42" i="30"/>
  <c r="V42" i="30"/>
  <c r="U42" i="30"/>
  <c r="T42" i="30"/>
  <c r="S42" i="30"/>
  <c r="R42" i="30"/>
  <c r="Q42" i="30"/>
  <c r="P42" i="30"/>
  <c r="O42" i="30"/>
  <c r="N42" i="30"/>
  <c r="M42" i="30"/>
  <c r="L42" i="30"/>
  <c r="K42" i="30"/>
  <c r="J42" i="30"/>
  <c r="I42" i="30"/>
  <c r="H42" i="30"/>
  <c r="G42" i="30"/>
  <c r="F42" i="30"/>
  <c r="E42" i="30"/>
  <c r="D42" i="30"/>
  <c r="C42" i="30"/>
  <c r="B42" i="30"/>
  <c r="AC41" i="30"/>
  <c r="AB41" i="30"/>
  <c r="AA41" i="30"/>
  <c r="Z41" i="30"/>
  <c r="Y41" i="30"/>
  <c r="X41" i="30"/>
  <c r="W41" i="30"/>
  <c r="V41" i="30"/>
  <c r="U41" i="30"/>
  <c r="T41" i="30"/>
  <c r="S41" i="30"/>
  <c r="R41" i="30"/>
  <c r="Q41" i="30"/>
  <c r="P41" i="30"/>
  <c r="O41" i="30"/>
  <c r="N41" i="30"/>
  <c r="M41" i="30"/>
  <c r="L41" i="30"/>
  <c r="K41" i="30"/>
  <c r="J41" i="30"/>
  <c r="I41" i="30"/>
  <c r="H41" i="30"/>
  <c r="G41" i="30"/>
  <c r="F41" i="30"/>
  <c r="E41" i="30"/>
  <c r="D41" i="30"/>
  <c r="C41" i="30"/>
  <c r="B41" i="30"/>
  <c r="AC40" i="30"/>
  <c r="AB40" i="30"/>
  <c r="AA40" i="30"/>
  <c r="Z40" i="30"/>
  <c r="Y40" i="30"/>
  <c r="X40" i="30"/>
  <c r="W40" i="30"/>
  <c r="V40" i="30"/>
  <c r="U40" i="30"/>
  <c r="T40" i="30"/>
  <c r="S40" i="30"/>
  <c r="R40" i="30"/>
  <c r="Q40" i="30"/>
  <c r="P40" i="30"/>
  <c r="O40" i="30"/>
  <c r="N40" i="30"/>
  <c r="M40" i="30"/>
  <c r="L40" i="30"/>
  <c r="K40" i="30"/>
  <c r="J40" i="30"/>
  <c r="I40" i="30"/>
  <c r="H40" i="30"/>
  <c r="G40" i="30"/>
  <c r="F40" i="30"/>
  <c r="E40" i="30"/>
  <c r="D40" i="30"/>
  <c r="C40" i="30"/>
  <c r="B40" i="30"/>
  <c r="AC39" i="30"/>
  <c r="AB39" i="30"/>
  <c r="AA39" i="30"/>
  <c r="Z39" i="30"/>
  <c r="Y39" i="30"/>
  <c r="X39" i="30"/>
  <c r="W39" i="30"/>
  <c r="V39" i="30"/>
  <c r="U39" i="30"/>
  <c r="T39" i="30"/>
  <c r="S39" i="30"/>
  <c r="R39" i="30"/>
  <c r="Q39" i="30"/>
  <c r="P39" i="30"/>
  <c r="O39" i="30"/>
  <c r="N39" i="30"/>
  <c r="M39" i="30"/>
  <c r="L39" i="30"/>
  <c r="K39" i="30"/>
  <c r="J39" i="30"/>
  <c r="I39" i="30"/>
  <c r="H39" i="30"/>
  <c r="G39" i="30"/>
  <c r="F39" i="30"/>
  <c r="E39" i="30"/>
  <c r="D39" i="30"/>
  <c r="C39" i="30"/>
  <c r="B39" i="30"/>
  <c r="AC38" i="30"/>
  <c r="AB38" i="30"/>
  <c r="AA38" i="30"/>
  <c r="Z38" i="30"/>
  <c r="Y38" i="30"/>
  <c r="X38" i="30"/>
  <c r="W38" i="30"/>
  <c r="V38" i="30"/>
  <c r="U38" i="30"/>
  <c r="T38" i="30"/>
  <c r="S38" i="30"/>
  <c r="R38" i="30"/>
  <c r="Q38" i="30"/>
  <c r="P38" i="30"/>
  <c r="O38" i="30"/>
  <c r="N38" i="30"/>
  <c r="M38" i="30"/>
  <c r="L38" i="30"/>
  <c r="K38" i="30"/>
  <c r="J38" i="30"/>
  <c r="I38" i="30"/>
  <c r="H38" i="30"/>
  <c r="G38" i="30"/>
  <c r="F38" i="30"/>
  <c r="E38" i="30"/>
  <c r="D38" i="30"/>
  <c r="C38" i="30"/>
  <c r="B38" i="30"/>
  <c r="AC37" i="30"/>
  <c r="AB37" i="30"/>
  <c r="AA37" i="30"/>
  <c r="Z37" i="30"/>
  <c r="Y37" i="30"/>
  <c r="X37" i="30"/>
  <c r="W37" i="30"/>
  <c r="V37" i="30"/>
  <c r="U37" i="30"/>
  <c r="T37" i="30"/>
  <c r="S37" i="30"/>
  <c r="R37" i="30"/>
  <c r="Q37" i="30"/>
  <c r="P37" i="30"/>
  <c r="O37" i="30"/>
  <c r="N37" i="30"/>
  <c r="M37" i="30"/>
  <c r="L37" i="30"/>
  <c r="K37" i="30"/>
  <c r="J37" i="30"/>
  <c r="I37" i="30"/>
  <c r="H37" i="30"/>
  <c r="G37" i="30"/>
  <c r="F37" i="30"/>
  <c r="E37" i="30"/>
  <c r="D37" i="30"/>
  <c r="C37" i="30"/>
  <c r="B37" i="30"/>
  <c r="AC36" i="30"/>
  <c r="AB36" i="30"/>
  <c r="AA36" i="30"/>
  <c r="Z36" i="30"/>
  <c r="Y36" i="30"/>
  <c r="X36" i="30"/>
  <c r="W36" i="30"/>
  <c r="V36" i="30"/>
  <c r="U36" i="30"/>
  <c r="T36" i="30"/>
  <c r="S36" i="30"/>
  <c r="R36" i="30"/>
  <c r="Q36" i="30"/>
  <c r="P36" i="30"/>
  <c r="O36" i="30"/>
  <c r="N36" i="30"/>
  <c r="M36" i="30"/>
  <c r="L36" i="30"/>
  <c r="K36" i="30"/>
  <c r="J36" i="30"/>
  <c r="I36" i="30"/>
  <c r="H36" i="30"/>
  <c r="G36" i="30"/>
  <c r="F36" i="30"/>
  <c r="E36" i="30"/>
  <c r="D36" i="30"/>
  <c r="C36" i="30"/>
  <c r="B36" i="30"/>
  <c r="AC35" i="30"/>
  <c r="AB35" i="30"/>
  <c r="AA35" i="30"/>
  <c r="Z35" i="30"/>
  <c r="Y35" i="30"/>
  <c r="X35" i="30"/>
  <c r="W35" i="30"/>
  <c r="V35" i="30"/>
  <c r="U35" i="30"/>
  <c r="T35" i="30"/>
  <c r="S35" i="30"/>
  <c r="R35" i="30"/>
  <c r="Q35" i="30"/>
  <c r="P35" i="30"/>
  <c r="O35" i="30"/>
  <c r="N35" i="30"/>
  <c r="M35" i="30"/>
  <c r="L35" i="30"/>
  <c r="K35" i="30"/>
  <c r="J35" i="30"/>
  <c r="I35" i="30"/>
  <c r="H35" i="30"/>
  <c r="G35" i="30"/>
  <c r="F35" i="30"/>
  <c r="E35" i="30"/>
  <c r="D35" i="30"/>
  <c r="C35" i="30"/>
  <c r="B35" i="30"/>
  <c r="AC34" i="30"/>
  <c r="AB34" i="30"/>
  <c r="AA34" i="30"/>
  <c r="Z34" i="30"/>
  <c r="Y34" i="30"/>
  <c r="X34" i="30"/>
  <c r="W34" i="30"/>
  <c r="V34" i="30"/>
  <c r="U34" i="30"/>
  <c r="T34" i="30"/>
  <c r="S34" i="30"/>
  <c r="R34" i="30"/>
  <c r="Q34" i="30"/>
  <c r="P34" i="30"/>
  <c r="O34" i="30"/>
  <c r="N34" i="30"/>
  <c r="M34" i="30"/>
  <c r="L34" i="30"/>
  <c r="K34" i="30"/>
  <c r="J34" i="30"/>
  <c r="I34" i="30"/>
  <c r="H34" i="30"/>
  <c r="G34" i="30"/>
  <c r="F34" i="30"/>
  <c r="E34" i="30"/>
  <c r="D34" i="30"/>
  <c r="C34" i="30"/>
  <c r="B34" i="30"/>
  <c r="AC33" i="30"/>
  <c r="AB33" i="30"/>
  <c r="AA33" i="30"/>
  <c r="Z33" i="30"/>
  <c r="Y33" i="30"/>
  <c r="X33" i="30"/>
  <c r="W33" i="30"/>
  <c r="V33" i="30"/>
  <c r="U33" i="30"/>
  <c r="T33" i="30"/>
  <c r="S33" i="30"/>
  <c r="R33" i="30"/>
  <c r="Q33" i="30"/>
  <c r="P33" i="30"/>
  <c r="O33" i="30"/>
  <c r="N33" i="30"/>
  <c r="M33" i="30"/>
  <c r="L33" i="30"/>
  <c r="K33" i="30"/>
  <c r="J33" i="30"/>
  <c r="I33" i="30"/>
  <c r="H33" i="30"/>
  <c r="G33" i="30"/>
  <c r="F33" i="30"/>
  <c r="E33" i="30"/>
  <c r="D33" i="30"/>
  <c r="C33" i="30"/>
  <c r="B33"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C32" i="30"/>
  <c r="B32" i="30"/>
  <c r="AC31" i="30"/>
  <c r="AB31" i="30"/>
  <c r="AA31" i="30"/>
  <c r="Z31" i="30"/>
  <c r="Y31" i="30"/>
  <c r="X31" i="30"/>
  <c r="W31" i="30"/>
  <c r="V31" i="30"/>
  <c r="U31" i="30"/>
  <c r="T31" i="30"/>
  <c r="S31" i="30"/>
  <c r="R31" i="30"/>
  <c r="Q31" i="30"/>
  <c r="P31" i="30"/>
  <c r="O31" i="30"/>
  <c r="N31" i="30"/>
  <c r="M31" i="30"/>
  <c r="L31" i="30"/>
  <c r="K31" i="30"/>
  <c r="J31" i="30"/>
  <c r="I31" i="30"/>
  <c r="H31" i="30"/>
  <c r="G31" i="30"/>
  <c r="F31" i="30"/>
  <c r="E31" i="30"/>
  <c r="D31" i="30"/>
  <c r="C31" i="30"/>
  <c r="B31" i="30"/>
  <c r="AC30" i="30"/>
  <c r="AB30" i="30"/>
  <c r="AA30" i="30"/>
  <c r="Z30" i="30"/>
  <c r="Y30" i="30"/>
  <c r="X30" i="30"/>
  <c r="W30" i="30"/>
  <c r="V30" i="30"/>
  <c r="U30" i="30"/>
  <c r="T30" i="30"/>
  <c r="S30" i="30"/>
  <c r="R30" i="30"/>
  <c r="Q30" i="30"/>
  <c r="P30" i="30"/>
  <c r="O30" i="30"/>
  <c r="N30" i="30"/>
  <c r="M30" i="30"/>
  <c r="L30" i="30"/>
  <c r="K30" i="30"/>
  <c r="J30" i="30"/>
  <c r="I30" i="30"/>
  <c r="H30" i="30"/>
  <c r="G30" i="30"/>
  <c r="F30" i="30"/>
  <c r="E30" i="30"/>
  <c r="D30" i="30"/>
  <c r="C30" i="30"/>
  <c r="B30" i="30"/>
  <c r="AC29" i="30"/>
  <c r="AB29" i="30"/>
  <c r="AA29" i="30"/>
  <c r="Z29" i="30"/>
  <c r="Y29" i="30"/>
  <c r="X29" i="30"/>
  <c r="W29" i="30"/>
  <c r="V29" i="30"/>
  <c r="U29" i="30"/>
  <c r="T29" i="30"/>
  <c r="S29" i="30"/>
  <c r="R29" i="30"/>
  <c r="Q29" i="30"/>
  <c r="P29" i="30"/>
  <c r="O29" i="30"/>
  <c r="N29" i="30"/>
  <c r="M29" i="30"/>
  <c r="L29" i="30"/>
  <c r="K29" i="30"/>
  <c r="J29" i="30"/>
  <c r="I29" i="30"/>
  <c r="H29" i="30"/>
  <c r="G29" i="30"/>
  <c r="F29" i="30"/>
  <c r="E29" i="30"/>
  <c r="D29" i="30"/>
  <c r="C29" i="30"/>
  <c r="B29" i="30"/>
  <c r="AC28" i="30"/>
  <c r="AB28" i="30"/>
  <c r="AA28" i="30"/>
  <c r="Z28" i="30"/>
  <c r="Y28" i="30"/>
  <c r="X28" i="30"/>
  <c r="W28" i="30"/>
  <c r="V28" i="30"/>
  <c r="U28" i="30"/>
  <c r="T28" i="30"/>
  <c r="S28" i="30"/>
  <c r="R28" i="30"/>
  <c r="Q28" i="30"/>
  <c r="P28" i="30"/>
  <c r="O28" i="30"/>
  <c r="N28" i="30"/>
  <c r="M28" i="30"/>
  <c r="L28" i="30"/>
  <c r="K28" i="30"/>
  <c r="J28" i="30"/>
  <c r="I28" i="30"/>
  <c r="H28" i="30"/>
  <c r="G28" i="30"/>
  <c r="F28" i="30"/>
  <c r="E28" i="30"/>
  <c r="D28" i="30"/>
  <c r="C28" i="30"/>
  <c r="B28" i="30"/>
  <c r="AC27" i="30"/>
  <c r="AB27" i="30"/>
  <c r="AA27" i="30"/>
  <c r="Z27" i="30"/>
  <c r="Y27" i="30"/>
  <c r="X27" i="30"/>
  <c r="W27" i="30"/>
  <c r="V27" i="30"/>
  <c r="U27" i="30"/>
  <c r="T27" i="30"/>
  <c r="S27" i="30"/>
  <c r="R27" i="30"/>
  <c r="Q27" i="30"/>
  <c r="P27" i="30"/>
  <c r="O27" i="30"/>
  <c r="N27" i="30"/>
  <c r="M27" i="30"/>
  <c r="L27" i="30"/>
  <c r="K27" i="30"/>
  <c r="J27" i="30"/>
  <c r="I27" i="30"/>
  <c r="H27" i="30"/>
  <c r="G27" i="30"/>
  <c r="F27" i="30"/>
  <c r="E27" i="30"/>
  <c r="D27" i="30"/>
  <c r="C27" i="30"/>
  <c r="B27" i="30"/>
  <c r="A27" i="30"/>
  <c r="AC26" i="30"/>
  <c r="AB26" i="30"/>
  <c r="AA26" i="30"/>
  <c r="Z26" i="30"/>
  <c r="Y26" i="30"/>
  <c r="X26" i="30"/>
  <c r="W26" i="30"/>
  <c r="V26" i="30"/>
  <c r="U26" i="30"/>
  <c r="T26" i="30"/>
  <c r="S26" i="30"/>
  <c r="R26" i="30"/>
  <c r="Q26" i="30"/>
  <c r="P26" i="30"/>
  <c r="O26" i="30"/>
  <c r="N26" i="30"/>
  <c r="M26" i="30"/>
  <c r="L26" i="30"/>
  <c r="K26" i="30"/>
  <c r="J26" i="30"/>
  <c r="I26" i="30"/>
  <c r="H26" i="30"/>
  <c r="G26" i="30"/>
  <c r="F26" i="30"/>
  <c r="E26" i="30"/>
  <c r="D26" i="30"/>
  <c r="C26" i="30"/>
  <c r="B26" i="30"/>
  <c r="A26" i="30"/>
  <c r="AC25" i="30"/>
  <c r="AB25" i="30"/>
  <c r="AA25" i="30"/>
  <c r="Z25" i="30"/>
  <c r="Y25" i="30"/>
  <c r="X25" i="30"/>
  <c r="W25" i="30"/>
  <c r="V25" i="30"/>
  <c r="U25" i="30"/>
  <c r="T25" i="30"/>
  <c r="S25" i="30"/>
  <c r="R25" i="30"/>
  <c r="Q25" i="30"/>
  <c r="P25" i="30"/>
  <c r="O25" i="30"/>
  <c r="N25" i="30"/>
  <c r="M25" i="30"/>
  <c r="L25" i="30"/>
  <c r="K25" i="30"/>
  <c r="J25" i="30"/>
  <c r="I25" i="30"/>
  <c r="H25" i="30"/>
  <c r="G25" i="30"/>
  <c r="F25" i="30"/>
  <c r="E25" i="30"/>
  <c r="D25" i="30"/>
  <c r="C25" i="30"/>
  <c r="B25" i="30"/>
  <c r="A25" i="30"/>
  <c r="AC24" i="30"/>
  <c r="AB24" i="30"/>
  <c r="AA24" i="30"/>
  <c r="Z24" i="30"/>
  <c r="Y24" i="30"/>
  <c r="X24" i="30"/>
  <c r="W24" i="30"/>
  <c r="V24" i="30"/>
  <c r="U24" i="30"/>
  <c r="T24" i="30"/>
  <c r="S24" i="30"/>
  <c r="R24" i="30"/>
  <c r="Q24" i="30"/>
  <c r="P24" i="30"/>
  <c r="O24" i="30"/>
  <c r="N24" i="30"/>
  <c r="M24" i="30"/>
  <c r="L24" i="30"/>
  <c r="K24" i="30"/>
  <c r="J24" i="30"/>
  <c r="I24" i="30"/>
  <c r="H24" i="30"/>
  <c r="G24" i="30"/>
  <c r="F24" i="30"/>
  <c r="E24" i="30"/>
  <c r="D24" i="30"/>
  <c r="C24" i="30"/>
  <c r="B24" i="30"/>
  <c r="A24" i="30"/>
  <c r="AC23" i="30"/>
  <c r="AB23" i="30"/>
  <c r="AA23" i="30"/>
  <c r="Z23" i="30"/>
  <c r="Y23" i="30"/>
  <c r="X23" i="30"/>
  <c r="W23" i="30"/>
  <c r="V23" i="30"/>
  <c r="U23" i="30"/>
  <c r="T23" i="30"/>
  <c r="S23" i="30"/>
  <c r="R23" i="30"/>
  <c r="Q23" i="30"/>
  <c r="P23" i="30"/>
  <c r="O23" i="30"/>
  <c r="N23" i="30"/>
  <c r="M23" i="30"/>
  <c r="L23" i="30"/>
  <c r="K23" i="30"/>
  <c r="J23" i="30"/>
  <c r="I23" i="30"/>
  <c r="H23" i="30"/>
  <c r="G23" i="30"/>
  <c r="F23" i="30"/>
  <c r="E23" i="30"/>
  <c r="D23" i="30"/>
  <c r="C23" i="30"/>
  <c r="B23" i="30"/>
  <c r="A23" i="30"/>
  <c r="AC22" i="30"/>
  <c r="AB22" i="30"/>
  <c r="AA22" i="30"/>
  <c r="Z22" i="30"/>
  <c r="Y22" i="30"/>
  <c r="X22" i="30"/>
  <c r="W22" i="30"/>
  <c r="V22" i="30"/>
  <c r="U22" i="30"/>
  <c r="T22" i="30"/>
  <c r="S22" i="30"/>
  <c r="R22" i="30"/>
  <c r="Q22" i="30"/>
  <c r="P22" i="30"/>
  <c r="O22" i="30"/>
  <c r="N22" i="30"/>
  <c r="M22" i="30"/>
  <c r="L22" i="30"/>
  <c r="K22" i="30"/>
  <c r="J22" i="30"/>
  <c r="I22" i="30"/>
  <c r="H22" i="30"/>
  <c r="G22" i="30"/>
  <c r="F22" i="30"/>
  <c r="E22" i="30"/>
  <c r="D22" i="30"/>
  <c r="C22" i="30"/>
  <c r="B22" i="30"/>
  <c r="A22" i="30"/>
  <c r="AC21" i="30"/>
  <c r="AB21" i="30"/>
  <c r="AA21" i="30"/>
  <c r="Z21" i="30"/>
  <c r="Y21" i="30"/>
  <c r="X21" i="30"/>
  <c r="W21" i="30"/>
  <c r="V21" i="30"/>
  <c r="U21" i="30"/>
  <c r="T21" i="30"/>
  <c r="S21" i="30"/>
  <c r="R21" i="30"/>
  <c r="Q21" i="30"/>
  <c r="P21" i="30"/>
  <c r="O21" i="30"/>
  <c r="N21" i="30"/>
  <c r="M21" i="30"/>
  <c r="L21" i="30"/>
  <c r="K21" i="30"/>
  <c r="J21" i="30"/>
  <c r="I21" i="30"/>
  <c r="H21" i="30"/>
  <c r="G21" i="30"/>
  <c r="F21" i="30"/>
  <c r="E21" i="30"/>
  <c r="D21" i="30"/>
  <c r="C21" i="30"/>
  <c r="B21" i="30"/>
  <c r="A21" i="30"/>
  <c r="AC20" i="30"/>
  <c r="AB20" i="30"/>
  <c r="AA20" i="30"/>
  <c r="Z20" i="30"/>
  <c r="Y20" i="30"/>
  <c r="X20" i="30"/>
  <c r="W20" i="30"/>
  <c r="V20" i="30"/>
  <c r="U20" i="30"/>
  <c r="T20" i="30"/>
  <c r="S20" i="30"/>
  <c r="R20" i="30"/>
  <c r="Q20" i="30"/>
  <c r="P20" i="30"/>
  <c r="O20" i="30"/>
  <c r="N20" i="30"/>
  <c r="M20" i="30"/>
  <c r="L20" i="30"/>
  <c r="K20" i="30"/>
  <c r="J20" i="30"/>
  <c r="I20" i="30"/>
  <c r="H20" i="30"/>
  <c r="G20" i="30"/>
  <c r="F20" i="30"/>
  <c r="E20" i="30"/>
  <c r="D20" i="30"/>
  <c r="C20" i="30"/>
  <c r="B20" i="30"/>
  <c r="A20" i="30"/>
  <c r="AC19" i="30"/>
  <c r="AB19" i="30"/>
  <c r="AA19" i="30"/>
  <c r="Z19" i="30"/>
  <c r="Y19" i="30"/>
  <c r="X19" i="30"/>
  <c r="W19" i="30"/>
  <c r="V19" i="30"/>
  <c r="U19" i="30"/>
  <c r="T19" i="30"/>
  <c r="S19" i="30"/>
  <c r="R19" i="30"/>
  <c r="Q19" i="30"/>
  <c r="P19" i="30"/>
  <c r="O19" i="30"/>
  <c r="N19" i="30"/>
  <c r="M19" i="30"/>
  <c r="L19" i="30"/>
  <c r="K19" i="30"/>
  <c r="J19" i="30"/>
  <c r="I19" i="30"/>
  <c r="H19" i="30"/>
  <c r="G19" i="30"/>
  <c r="F19" i="30"/>
  <c r="E19" i="30"/>
  <c r="D19" i="30"/>
  <c r="C19" i="30"/>
  <c r="B19" i="30"/>
  <c r="A19" i="30"/>
  <c r="AC18" i="30"/>
  <c r="AB18" i="30"/>
  <c r="AA18" i="30"/>
  <c r="Z18" i="30"/>
  <c r="Y18" i="30"/>
  <c r="X18" i="30"/>
  <c r="W18" i="30"/>
  <c r="V18" i="30"/>
  <c r="U18" i="30"/>
  <c r="T18" i="30"/>
  <c r="S18" i="30"/>
  <c r="R18" i="30"/>
  <c r="Q18" i="30"/>
  <c r="P18" i="30"/>
  <c r="O18" i="30"/>
  <c r="N18" i="30"/>
  <c r="M18" i="30"/>
  <c r="L18" i="30"/>
  <c r="K18" i="30"/>
  <c r="J18" i="30"/>
  <c r="I18" i="30"/>
  <c r="H18" i="30"/>
  <c r="G18" i="30"/>
  <c r="F18" i="30"/>
  <c r="E18" i="30"/>
  <c r="D18" i="30"/>
  <c r="C18" i="30"/>
  <c r="B18" i="30"/>
  <c r="A18" i="30"/>
  <c r="AC17" i="30"/>
  <c r="AB17" i="30"/>
  <c r="AA17" i="30"/>
  <c r="Z17" i="30"/>
  <c r="Y17" i="30"/>
  <c r="X17" i="30"/>
  <c r="W17" i="30"/>
  <c r="V17" i="30"/>
  <c r="U17" i="30"/>
  <c r="T17" i="30"/>
  <c r="S17" i="30"/>
  <c r="R17" i="30"/>
  <c r="Q17" i="30"/>
  <c r="P17" i="30"/>
  <c r="O17" i="30"/>
  <c r="N17" i="30"/>
  <c r="M17" i="30"/>
  <c r="L17" i="30"/>
  <c r="K17" i="30"/>
  <c r="J17" i="30"/>
  <c r="I17" i="30"/>
  <c r="H17" i="30"/>
  <c r="G17" i="30"/>
  <c r="F17" i="30"/>
  <c r="E17" i="30"/>
  <c r="D17" i="30"/>
  <c r="C17" i="30"/>
  <c r="B17" i="30"/>
  <c r="A17" i="30"/>
  <c r="AC16" i="30"/>
  <c r="AB16" i="30"/>
  <c r="AA16" i="30"/>
  <c r="Z16" i="30"/>
  <c r="Y16" i="30"/>
  <c r="X16" i="30"/>
  <c r="W16" i="30"/>
  <c r="V16" i="30"/>
  <c r="U16" i="30"/>
  <c r="T16" i="30"/>
  <c r="S16" i="30"/>
  <c r="R16" i="30"/>
  <c r="Q16" i="30"/>
  <c r="P16" i="30"/>
  <c r="O16" i="30"/>
  <c r="N16" i="30"/>
  <c r="M16" i="30"/>
  <c r="L16" i="30"/>
  <c r="K16" i="30"/>
  <c r="J16" i="30"/>
  <c r="I16" i="30"/>
  <c r="H16" i="30"/>
  <c r="G16" i="30"/>
  <c r="F16" i="30"/>
  <c r="E16" i="30"/>
  <c r="D16" i="30"/>
  <c r="C16" i="30"/>
  <c r="B16" i="30"/>
  <c r="A16" i="30"/>
  <c r="AC15" i="30"/>
  <c r="AB15" i="30"/>
  <c r="AA15" i="30"/>
  <c r="Z15" i="30"/>
  <c r="Y15" i="30"/>
  <c r="X15" i="30"/>
  <c r="W15" i="30"/>
  <c r="V15" i="30"/>
  <c r="U15" i="30"/>
  <c r="T15" i="30"/>
  <c r="S15" i="30"/>
  <c r="R15" i="30"/>
  <c r="Q15" i="30"/>
  <c r="P15" i="30"/>
  <c r="O15" i="30"/>
  <c r="N15" i="30"/>
  <c r="M15" i="30"/>
  <c r="L15" i="30"/>
  <c r="K15" i="30"/>
  <c r="J15" i="30"/>
  <c r="I15" i="30"/>
  <c r="H15" i="30"/>
  <c r="G15" i="30"/>
  <c r="F15" i="30"/>
  <c r="E15" i="30"/>
  <c r="D15" i="30"/>
  <c r="C15" i="30"/>
  <c r="B15" i="30"/>
  <c r="A15" i="30"/>
  <c r="AC14" i="30"/>
  <c r="AB14" i="30"/>
  <c r="AA14" i="30"/>
  <c r="Z14" i="30"/>
  <c r="Y14" i="30"/>
  <c r="X14" i="30"/>
  <c r="W14" i="30"/>
  <c r="V14" i="30"/>
  <c r="U14" i="30"/>
  <c r="T14" i="30"/>
  <c r="S14" i="30"/>
  <c r="R14" i="30"/>
  <c r="Q14" i="30"/>
  <c r="P14" i="30"/>
  <c r="O14" i="30"/>
  <c r="N14" i="30"/>
  <c r="M14" i="30"/>
  <c r="L14" i="30"/>
  <c r="K14" i="30"/>
  <c r="J14" i="30"/>
  <c r="I14" i="30"/>
  <c r="H14" i="30"/>
  <c r="G14" i="30"/>
  <c r="F14" i="30"/>
  <c r="E14" i="30"/>
  <c r="D14" i="30"/>
  <c r="C14" i="30"/>
  <c r="B14" i="30"/>
  <c r="A14" i="30"/>
  <c r="AC13" i="30"/>
  <c r="AB13" i="30"/>
  <c r="AA13" i="30"/>
  <c r="Z13" i="30"/>
  <c r="Y13" i="30"/>
  <c r="X13" i="30"/>
  <c r="W13" i="30"/>
  <c r="V13" i="30"/>
  <c r="U13" i="30"/>
  <c r="T13" i="30"/>
  <c r="S13" i="30"/>
  <c r="R13" i="30"/>
  <c r="Q13" i="30"/>
  <c r="P13" i="30"/>
  <c r="O13" i="30"/>
  <c r="N13" i="30"/>
  <c r="M13" i="30"/>
  <c r="L13" i="30"/>
  <c r="K13" i="30"/>
  <c r="J13" i="30"/>
  <c r="I13" i="30"/>
  <c r="H13" i="30"/>
  <c r="G13" i="30"/>
  <c r="F13" i="30"/>
  <c r="E13" i="30"/>
  <c r="D13" i="30"/>
  <c r="C13" i="30"/>
  <c r="B13" i="30"/>
  <c r="A13" i="30"/>
  <c r="AC12" i="30"/>
  <c r="AB12" i="30"/>
  <c r="AA12" i="30"/>
  <c r="Z12" i="30"/>
  <c r="Y12" i="30"/>
  <c r="X12" i="30"/>
  <c r="W12" i="30"/>
  <c r="V12" i="30"/>
  <c r="U12" i="30"/>
  <c r="T12" i="30"/>
  <c r="S12" i="30"/>
  <c r="R12" i="30"/>
  <c r="Q12" i="30"/>
  <c r="P12" i="30"/>
  <c r="O12" i="30"/>
  <c r="N12" i="30"/>
  <c r="M12" i="30"/>
  <c r="L12" i="30"/>
  <c r="K12" i="30"/>
  <c r="J12" i="30"/>
  <c r="I12" i="30"/>
  <c r="H12" i="30"/>
  <c r="G12" i="30"/>
  <c r="F12" i="30"/>
  <c r="E12" i="30"/>
  <c r="D12" i="30"/>
  <c r="C12" i="30"/>
  <c r="B12" i="30"/>
  <c r="A12" i="30"/>
  <c r="AC11" i="30"/>
  <c r="AB11" i="30"/>
  <c r="AA11" i="30"/>
  <c r="Z11" i="30"/>
  <c r="Y11" i="30"/>
  <c r="X11" i="30"/>
  <c r="W11" i="30"/>
  <c r="V11" i="30"/>
  <c r="U11" i="30"/>
  <c r="T11" i="30"/>
  <c r="S11" i="30"/>
  <c r="R11" i="30"/>
  <c r="Q11" i="30"/>
  <c r="P11" i="30"/>
  <c r="O11" i="30"/>
  <c r="N11" i="30"/>
  <c r="M11" i="30"/>
  <c r="L11" i="30"/>
  <c r="K11" i="30"/>
  <c r="J11" i="30"/>
  <c r="I11" i="30"/>
  <c r="H11" i="30"/>
  <c r="G11" i="30"/>
  <c r="F11" i="30"/>
  <c r="E11" i="30"/>
  <c r="D11" i="30"/>
  <c r="C11" i="30"/>
  <c r="B11" i="30"/>
  <c r="A11" i="30"/>
  <c r="AC10" i="30"/>
  <c r="AB10" i="30"/>
  <c r="AA10" i="30"/>
  <c r="Z10" i="30"/>
  <c r="Y10" i="30"/>
  <c r="X10" i="30"/>
  <c r="W10" i="30"/>
  <c r="V10" i="30"/>
  <c r="U10" i="30"/>
  <c r="T10" i="30"/>
  <c r="S10" i="30"/>
  <c r="R10" i="30"/>
  <c r="Q10" i="30"/>
  <c r="P10" i="30"/>
  <c r="O10" i="30"/>
  <c r="N10" i="30"/>
  <c r="M10" i="30"/>
  <c r="L10" i="30"/>
  <c r="K10" i="30"/>
  <c r="J10" i="30"/>
  <c r="I10" i="30"/>
  <c r="H10" i="30"/>
  <c r="G10" i="30"/>
  <c r="F10" i="30"/>
  <c r="E10" i="30"/>
  <c r="D10" i="30"/>
  <c r="C10" i="30"/>
  <c r="B10" i="30"/>
  <c r="A10" i="30"/>
  <c r="AC9" i="30"/>
  <c r="AB9" i="30"/>
  <c r="AA9" i="30"/>
  <c r="Z9" i="30"/>
  <c r="Y9" i="30"/>
  <c r="X9" i="30"/>
  <c r="W9" i="30"/>
  <c r="V9" i="30"/>
  <c r="U9" i="30"/>
  <c r="T9" i="30"/>
  <c r="S9" i="30"/>
  <c r="R9" i="30"/>
  <c r="Q9" i="30"/>
  <c r="P9" i="30"/>
  <c r="O9" i="30"/>
  <c r="N9" i="30"/>
  <c r="M9" i="30"/>
  <c r="L9" i="30"/>
  <c r="K9" i="30"/>
  <c r="J9" i="30"/>
  <c r="I9" i="30"/>
  <c r="H9" i="30"/>
  <c r="G9" i="30"/>
  <c r="F9" i="30"/>
  <c r="E9" i="30"/>
  <c r="D9" i="30"/>
  <c r="C9" i="30"/>
  <c r="B9" i="30"/>
  <c r="A9" i="30"/>
  <c r="AC8" i="30"/>
  <c r="AB8" i="30"/>
  <c r="AA8" i="30"/>
  <c r="Z8" i="30"/>
  <c r="Y8" i="30"/>
  <c r="X8" i="30"/>
  <c r="W8" i="30"/>
  <c r="V8" i="30"/>
  <c r="U8" i="30"/>
  <c r="T8" i="30"/>
  <c r="S8" i="30"/>
  <c r="R8" i="30"/>
  <c r="Q8" i="30"/>
  <c r="P8" i="30"/>
  <c r="O8" i="30"/>
  <c r="N8" i="30"/>
  <c r="M8" i="30"/>
  <c r="L8" i="30"/>
  <c r="K8" i="30"/>
  <c r="J8" i="30"/>
  <c r="I8" i="30"/>
  <c r="H8" i="30"/>
  <c r="G8" i="30"/>
  <c r="F8" i="30"/>
  <c r="E8" i="30"/>
  <c r="D8" i="30"/>
  <c r="C8" i="30"/>
  <c r="B8" i="30"/>
  <c r="A8" i="30"/>
  <c r="AC7" i="30"/>
  <c r="AB7" i="30"/>
  <c r="AA7" i="30"/>
  <c r="Z7" i="30"/>
  <c r="Y7" i="30"/>
  <c r="X7" i="30"/>
  <c r="W7" i="30"/>
  <c r="V7" i="30"/>
  <c r="U7" i="30"/>
  <c r="T7" i="30"/>
  <c r="S7" i="30"/>
  <c r="R7" i="30"/>
  <c r="Q7" i="30"/>
  <c r="P7" i="30"/>
  <c r="O7" i="30"/>
  <c r="N7" i="30"/>
  <c r="M7" i="30"/>
  <c r="L7" i="30"/>
  <c r="K7" i="30"/>
  <c r="J7" i="30"/>
  <c r="I7" i="30"/>
  <c r="H7" i="30"/>
  <c r="G7" i="30"/>
  <c r="F7" i="30"/>
  <c r="E7" i="30"/>
  <c r="D7" i="30"/>
  <c r="C7" i="30"/>
  <c r="B7" i="30"/>
  <c r="A7" i="30"/>
  <c r="AC6" i="30"/>
  <c r="AB6" i="30"/>
  <c r="AA6" i="30"/>
  <c r="Z6" i="30"/>
  <c r="Y6" i="30"/>
  <c r="X6" i="30"/>
  <c r="W6" i="30"/>
  <c r="V6" i="30"/>
  <c r="U6" i="30"/>
  <c r="T6" i="30"/>
  <c r="S6" i="30"/>
  <c r="R6" i="30"/>
  <c r="Q6" i="30"/>
  <c r="P6" i="30"/>
  <c r="O6" i="30"/>
  <c r="N6" i="30"/>
  <c r="M6" i="30"/>
  <c r="L6" i="30"/>
  <c r="K6" i="30"/>
  <c r="J6" i="30"/>
  <c r="I6" i="30"/>
  <c r="H6" i="30"/>
  <c r="G6" i="30"/>
  <c r="F6" i="30"/>
  <c r="AC5" i="30"/>
  <c r="AB5" i="30"/>
  <c r="AA5" i="30"/>
  <c r="Z5" i="30"/>
  <c r="Y5" i="30"/>
  <c r="X5" i="30"/>
  <c r="W5" i="30"/>
  <c r="V5" i="30"/>
  <c r="U5" i="30"/>
  <c r="T5" i="30"/>
  <c r="S5" i="30"/>
  <c r="R5" i="30"/>
  <c r="Q5" i="30"/>
  <c r="P5" i="30"/>
  <c r="O5" i="30"/>
  <c r="N5" i="30"/>
  <c r="M5" i="30"/>
  <c r="L5" i="30"/>
  <c r="K5" i="30"/>
  <c r="J5" i="30"/>
  <c r="I5" i="30"/>
  <c r="H5" i="30"/>
  <c r="G5" i="30"/>
  <c r="F5" i="30"/>
  <c r="A5" i="30"/>
  <c r="AC4" i="30"/>
  <c r="AB4" i="30"/>
  <c r="AA4" i="30"/>
  <c r="Z4" i="30"/>
  <c r="Y4" i="30"/>
  <c r="X4" i="30"/>
  <c r="W4" i="30"/>
  <c r="V4" i="30"/>
  <c r="U4" i="30"/>
  <c r="T4" i="30"/>
  <c r="S4" i="30"/>
  <c r="R4" i="30"/>
  <c r="Q4" i="30"/>
  <c r="P4" i="30"/>
  <c r="O4" i="30"/>
  <c r="N4" i="30"/>
  <c r="M4" i="30"/>
  <c r="L4" i="30"/>
  <c r="K4" i="30"/>
  <c r="J4" i="30"/>
  <c r="I4" i="30"/>
  <c r="H4" i="30"/>
  <c r="G4" i="30"/>
  <c r="F4" i="30"/>
  <c r="AC3" i="30"/>
  <c r="AB3" i="30"/>
  <c r="AA3" i="30"/>
  <c r="Z3" i="30"/>
  <c r="Y3" i="30"/>
  <c r="X3" i="30"/>
  <c r="W3" i="30"/>
  <c r="V3" i="30"/>
  <c r="U3" i="30"/>
  <c r="T3" i="30"/>
  <c r="S3" i="30"/>
  <c r="R3" i="30"/>
  <c r="Q3" i="30"/>
  <c r="P3" i="30"/>
  <c r="O3" i="30"/>
  <c r="N3" i="30"/>
  <c r="M3" i="30"/>
  <c r="L3" i="30"/>
  <c r="K3" i="30"/>
  <c r="J3" i="30"/>
  <c r="I3" i="30"/>
  <c r="H3" i="30"/>
  <c r="G3" i="30"/>
  <c r="F3" i="30"/>
  <c r="E28" i="7" l="1"/>
  <c r="F28" i="7" s="1"/>
  <c r="B67" i="14"/>
  <c r="B60" i="14"/>
  <c r="F34" i="7"/>
  <c r="C40" i="7" l="1"/>
  <c r="E40" i="7" l="1"/>
  <c r="F40" i="7" s="1"/>
  <c r="C44" i="7" l="1"/>
  <c r="E44" i="7" l="1"/>
  <c r="F44" i="7" s="1"/>
  <c r="E35" i="4" l="1"/>
  <c r="K17" i="6" l="1"/>
  <c r="K10" i="6"/>
  <c r="C41" i="7" l="1"/>
  <c r="E41" i="7" l="1"/>
  <c r="F41" i="7" s="1"/>
  <c r="B32" i="14" l="1"/>
  <c r="C14" i="16" l="1"/>
  <c r="B52" i="14" l="1"/>
  <c r="E35" i="7" l="1"/>
  <c r="C42" i="7" l="1"/>
  <c r="C45" i="7" s="1"/>
  <c r="E45" i="7" s="1"/>
  <c r="F45" i="7" s="1"/>
  <c r="N22" i="8"/>
  <c r="C9" i="7" l="1"/>
  <c r="Q22" i="8"/>
  <c r="E42" i="7"/>
  <c r="F42" i="7" s="1"/>
  <c r="E9" i="7"/>
  <c r="F9" i="7" s="1"/>
  <c r="B21" i="14"/>
  <c r="B30" i="14" l="1"/>
  <c r="K24" i="6" l="1"/>
  <c r="L30" i="40" l="1"/>
  <c r="K23" i="6" l="1"/>
  <c r="C33" i="7" l="1"/>
  <c r="L41" i="40"/>
  <c r="L42" i="40" s="1"/>
  <c r="L34" i="8"/>
  <c r="E33" i="7" l="1"/>
  <c r="F33" i="7" s="1"/>
  <c r="C24" i="15" l="1"/>
  <c r="C36" i="15" l="1"/>
  <c r="C25" i="15" s="1"/>
  <c r="C14" i="15"/>
  <c r="C29" i="15" l="1"/>
  <c r="C38" i="15" s="1"/>
  <c r="C15" i="15"/>
  <c r="H7" i="33" l="1"/>
  <c r="C13" i="26" l="1"/>
  <c r="C31" i="26"/>
  <c r="C15" i="16" l="1"/>
  <c r="B63" i="14"/>
  <c r="C31" i="7" l="1"/>
  <c r="E31" i="7" s="1"/>
  <c r="F31" i="7" s="1"/>
  <c r="B53" i="14"/>
  <c r="C19" i="33" l="1"/>
  <c r="H27" i="8"/>
  <c r="H26" i="8" l="1"/>
  <c r="D19" i="33"/>
  <c r="H30" i="8"/>
  <c r="H32" i="8" l="1"/>
  <c r="H28" i="8"/>
  <c r="E30" i="40" l="1"/>
  <c r="F30" i="40" l="1"/>
  <c r="E26" i="8" l="1"/>
  <c r="E27" i="8" l="1"/>
  <c r="E30" i="8"/>
  <c r="E32" i="8" l="1"/>
  <c r="E28" i="8" l="1"/>
  <c r="N26" i="40" l="1"/>
  <c r="C21" i="4" l="1"/>
  <c r="C33" i="16" s="1"/>
  <c r="C29" i="16" s="1"/>
  <c r="B62" i="14" l="1"/>
  <c r="B65" i="14"/>
  <c r="N24" i="40" l="1"/>
  <c r="B31" i="14" l="1"/>
  <c r="N12" i="8"/>
  <c r="Q12" i="8" s="1"/>
  <c r="N15" i="8"/>
  <c r="Q15" i="8" s="1"/>
  <c r="B35" i="14"/>
  <c r="N11" i="8" l="1"/>
  <c r="B20" i="14" l="1"/>
  <c r="Q11" i="8"/>
  <c r="N12" i="40"/>
  <c r="N21" i="40" l="1"/>
  <c r="N11" i="40"/>
  <c r="N20" i="40"/>
  <c r="N10" i="40"/>
  <c r="N22" i="40"/>
  <c r="N19" i="40"/>
  <c r="N9" i="40"/>
  <c r="N17" i="40"/>
  <c r="N18" i="40"/>
  <c r="N23" i="40"/>
  <c r="N16" i="40"/>
  <c r="N14" i="40"/>
  <c r="N21" i="8" l="1"/>
  <c r="B34" i="14"/>
  <c r="B36" i="14"/>
  <c r="N27" i="40"/>
  <c r="C23" i="7" l="1"/>
  <c r="B7" i="14" s="1"/>
  <c r="Q21" i="8"/>
  <c r="B24" i="14"/>
  <c r="N8" i="40"/>
  <c r="K30" i="40"/>
  <c r="K33" i="40"/>
  <c r="K37" i="40"/>
  <c r="K39" i="40" s="1"/>
  <c r="E23" i="7"/>
  <c r="F23" i="7" s="1"/>
  <c r="M30" i="40" l="1"/>
  <c r="N13" i="40"/>
  <c r="N30" i="40" s="1"/>
  <c r="N17" i="8" l="1"/>
  <c r="Q17" i="8" s="1"/>
  <c r="C21" i="33" l="1"/>
  <c r="I27" i="8" l="1"/>
  <c r="D21" i="33"/>
  <c r="I26" i="8"/>
  <c r="I30" i="8"/>
  <c r="I32" i="8" l="1"/>
  <c r="I28" i="8"/>
  <c r="I18" i="8" l="1"/>
  <c r="I24" i="8" s="1"/>
  <c r="C28" i="26" l="1"/>
  <c r="C20" i="7"/>
  <c r="E20" i="7" l="1"/>
  <c r="F20" i="7" s="1"/>
  <c r="B14" i="14"/>
  <c r="H25" i="6"/>
  <c r="C11" i="26" l="1"/>
  <c r="I20" i="42"/>
  <c r="I21" i="42" s="1"/>
  <c r="I22" i="41"/>
  <c r="I23" i="41" s="1"/>
  <c r="I34" i="8"/>
  <c r="I35" i="8" s="1"/>
  <c r="I41" i="40"/>
  <c r="I42" i="40" s="1"/>
  <c r="C16" i="33" l="1"/>
  <c r="F30" i="8"/>
  <c r="J26" i="8" l="1"/>
  <c r="C17" i="33"/>
  <c r="F27" i="8"/>
  <c r="F26" i="8"/>
  <c r="D16" i="33"/>
  <c r="F32" i="8"/>
  <c r="D17" i="33" l="1"/>
  <c r="J27" i="8"/>
  <c r="J30" i="8"/>
  <c r="F28" i="8"/>
  <c r="J28" i="8" l="1"/>
  <c r="J32" i="8"/>
  <c r="J18" i="8" l="1"/>
  <c r="J24" i="8" s="1"/>
  <c r="C21" i="7" l="1"/>
  <c r="C30" i="26"/>
  <c r="C13" i="16"/>
  <c r="B51" i="14" s="1"/>
  <c r="K20" i="6"/>
  <c r="B13" i="14" l="1"/>
  <c r="E21" i="7"/>
  <c r="F21" i="7" s="1"/>
  <c r="K22" i="6"/>
  <c r="C21" i="16" l="1"/>
  <c r="C19" i="26"/>
  <c r="C11" i="16" l="1"/>
  <c r="F11" i="16" s="1"/>
  <c r="C32" i="16"/>
  <c r="B66" i="14" s="1"/>
  <c r="C30" i="7"/>
  <c r="E30" i="7" s="1"/>
  <c r="F30" i="7" s="1"/>
  <c r="I25" i="6"/>
  <c r="J20" i="42" l="1"/>
  <c r="J21" i="42" s="1"/>
  <c r="J22" i="41"/>
  <c r="J23" i="41" s="1"/>
  <c r="J41" i="40"/>
  <c r="J42" i="40" s="1"/>
  <c r="J34" i="8"/>
  <c r="J35" i="8" s="1"/>
  <c r="C14" i="26"/>
  <c r="B49" i="14"/>
  <c r="G25" i="6" l="1"/>
  <c r="C16" i="16" l="1"/>
  <c r="B64" i="14"/>
  <c r="C24" i="26"/>
  <c r="C32" i="7"/>
  <c r="E32" i="7" s="1"/>
  <c r="F32" i="7" s="1"/>
  <c r="H20" i="42" l="1"/>
  <c r="H21" i="42" s="1"/>
  <c r="H22" i="41"/>
  <c r="H23" i="41" s="1"/>
  <c r="H41" i="40"/>
  <c r="H42" i="40" s="1"/>
  <c r="H34" i="8"/>
  <c r="C7" i="26"/>
  <c r="B54" i="14"/>
  <c r="H18" i="8"/>
  <c r="H24" i="8" s="1"/>
  <c r="C19" i="7" s="1"/>
  <c r="E19" i="7" l="1"/>
  <c r="F19" i="7" s="1"/>
  <c r="B11" i="14"/>
  <c r="H35" i="8"/>
  <c r="E9" i="33" l="1"/>
  <c r="F18" i="8"/>
  <c r="F24" i="8" s="1"/>
  <c r="F35" i="8" s="1"/>
  <c r="E18" i="8" l="1"/>
  <c r="E24" i="8" s="1"/>
  <c r="C17" i="7" s="1"/>
  <c r="B9" i="14" l="1"/>
  <c r="E17" i="7"/>
  <c r="F17" i="7" s="1"/>
  <c r="E25" i="6" l="1"/>
  <c r="E20" i="42" l="1"/>
  <c r="E21" i="42" s="1"/>
  <c r="C32" i="26"/>
  <c r="E22" i="41"/>
  <c r="E23" i="41" s="1"/>
  <c r="E34" i="8"/>
  <c r="E35" i="8" s="1"/>
  <c r="E41" i="40"/>
  <c r="E42" i="40" s="1"/>
  <c r="C15" i="26"/>
  <c r="C18" i="33" l="1"/>
  <c r="D27" i="8" l="1"/>
  <c r="D18" i="33"/>
  <c r="D26" i="8"/>
  <c r="D30" i="8"/>
  <c r="D32" i="8" l="1"/>
  <c r="D28" i="8"/>
  <c r="K14" i="6" l="1"/>
  <c r="K15" i="6"/>
  <c r="K13" i="6" l="1"/>
  <c r="C12" i="26"/>
  <c r="C29" i="26" s="1"/>
  <c r="C12" i="16"/>
  <c r="C28" i="16"/>
  <c r="C27" i="16" s="1"/>
  <c r="C36" i="16" s="1"/>
  <c r="C29" i="7"/>
  <c r="K21" i="6"/>
  <c r="E29" i="7" l="1"/>
  <c r="F29" i="7" s="1"/>
  <c r="C36" i="7"/>
  <c r="E36" i="7" s="1"/>
  <c r="F36" i="7" s="1"/>
  <c r="B61" i="14"/>
  <c r="B50" i="14"/>
  <c r="C17" i="16"/>
  <c r="C22" i="16" s="1"/>
  <c r="D18" i="8"/>
  <c r="D24" i="8" l="1"/>
  <c r="B56" i="14"/>
  <c r="B41" i="14"/>
  <c r="C38" i="16"/>
  <c r="B68" i="14"/>
  <c r="D66" i="14" l="1"/>
  <c r="D62" i="14"/>
  <c r="D67" i="14"/>
  <c r="D60" i="14"/>
  <c r="D63" i="14"/>
  <c r="D65" i="14"/>
  <c r="D64" i="14"/>
  <c r="D48" i="14"/>
  <c r="D53" i="14"/>
  <c r="D52" i="14"/>
  <c r="D47" i="14"/>
  <c r="D55" i="14"/>
  <c r="D51" i="14"/>
  <c r="D49" i="14"/>
  <c r="D54" i="14"/>
  <c r="C41" i="14"/>
  <c r="D61" i="14"/>
  <c r="D50" i="14"/>
  <c r="C16" i="7"/>
  <c r="C27" i="26"/>
  <c r="D25" i="6"/>
  <c r="D56" i="14" l="1"/>
  <c r="K18" i="6"/>
  <c r="B8" i="14"/>
  <c r="E16" i="7"/>
  <c r="F16" i="7" l="1"/>
  <c r="D20" i="42"/>
  <c r="D21" i="42" s="1"/>
  <c r="D34" i="8"/>
  <c r="D35" i="8" s="1"/>
  <c r="D22" i="41"/>
  <c r="D23" i="41" s="1"/>
  <c r="C10" i="26"/>
  <c r="D41" i="40"/>
  <c r="D42" i="40" s="1"/>
  <c r="C8" i="8" l="1"/>
  <c r="G8" i="8"/>
  <c r="C20" i="33" l="1"/>
  <c r="G9" i="8"/>
  <c r="G26" i="8" s="1"/>
  <c r="C9" i="8"/>
  <c r="C27" i="8" s="1"/>
  <c r="C30" i="8" l="1"/>
  <c r="D20" i="33"/>
  <c r="C26" i="8"/>
  <c r="G27" i="8"/>
  <c r="G30" i="8"/>
  <c r="C10" i="8"/>
  <c r="C28" i="8" l="1"/>
  <c r="C32" i="8"/>
  <c r="G10" i="8"/>
  <c r="G28" i="8" l="1"/>
  <c r="G32" i="8"/>
  <c r="E20" i="33"/>
  <c r="C13" i="8" l="1"/>
  <c r="G13" i="8"/>
  <c r="C14" i="8" l="1"/>
  <c r="G14" i="8" l="1"/>
  <c r="C16" i="8" l="1"/>
  <c r="C18" i="8" s="1"/>
  <c r="C19" i="6"/>
  <c r="C25" i="6" l="1"/>
  <c r="C8" i="26"/>
  <c r="K19" i="6"/>
  <c r="C24" i="8"/>
  <c r="G16" i="8"/>
  <c r="G18" i="8" s="1"/>
  <c r="G24" i="8" s="1"/>
  <c r="C25" i="26" l="1"/>
  <c r="C15" i="7"/>
  <c r="C41" i="40"/>
  <c r="C42" i="40" s="1"/>
  <c r="C22" i="41"/>
  <c r="C23" i="41" s="1"/>
  <c r="C34" i="8"/>
  <c r="C35" i="8" s="1"/>
  <c r="C20" i="42"/>
  <c r="C21" i="42" s="1"/>
  <c r="C18" i="7"/>
  <c r="C26" i="26"/>
  <c r="B6" i="14" l="1"/>
  <c r="E15" i="7"/>
  <c r="E18" i="7"/>
  <c r="F18" i="7" s="1"/>
  <c r="B10" i="14"/>
  <c r="C33" i="26"/>
  <c r="F15" i="7" l="1"/>
  <c r="F16" i="6" l="1"/>
  <c r="F25" i="6" l="1"/>
  <c r="C9" i="26"/>
  <c r="C20" i="26" s="1"/>
  <c r="C36" i="26" s="1"/>
  <c r="K16" i="6"/>
  <c r="K25" i="6" s="1"/>
  <c r="G20" i="42" l="1"/>
  <c r="G21" i="42" s="1"/>
  <c r="G22" i="41"/>
  <c r="G23" i="41" s="1"/>
  <c r="G34" i="8"/>
  <c r="G35" i="8" s="1"/>
  <c r="G41" i="40"/>
  <c r="G42" i="40" s="1"/>
  <c r="M8" i="8" l="1"/>
  <c r="L8" i="8"/>
  <c r="C15" i="33" l="1"/>
  <c r="C14" i="33"/>
  <c r="M9" i="8"/>
  <c r="M30" i="8" s="1"/>
  <c r="L9" i="8"/>
  <c r="L30" i="8" s="1"/>
  <c r="C22" i="33" l="1"/>
  <c r="C4" i="33" s="1"/>
  <c r="K8" i="8"/>
  <c r="N8" i="8" s="1"/>
  <c r="L27" i="8"/>
  <c r="B6" i="5"/>
  <c r="K27" i="8"/>
  <c r="D14" i="33"/>
  <c r="L26" i="8"/>
  <c r="L10" i="8"/>
  <c r="E14" i="33" s="1"/>
  <c r="M27" i="8"/>
  <c r="D15" i="33"/>
  <c r="M26" i="8"/>
  <c r="K9" i="8"/>
  <c r="D22" i="33" l="1"/>
  <c r="C5" i="33" s="1"/>
  <c r="C6" i="33" s="1"/>
  <c r="Q8" i="8"/>
  <c r="L28" i="8"/>
  <c r="E15" i="33"/>
  <c r="E22" i="33" s="1"/>
  <c r="C7" i="33" s="1"/>
  <c r="M10" i="8"/>
  <c r="M28" i="8" s="1"/>
  <c r="B40" i="5"/>
  <c r="C24" i="33"/>
  <c r="K30" i="8"/>
  <c r="K26" i="8"/>
  <c r="B7" i="5"/>
  <c r="B9" i="5" s="1"/>
  <c r="N9" i="8"/>
  <c r="Q9" i="8" s="1"/>
  <c r="L32" i="8"/>
  <c r="M32" i="8" l="1"/>
  <c r="B29" i="14"/>
  <c r="B19" i="14"/>
  <c r="L13" i="8" l="1"/>
  <c r="L18" i="8" s="1"/>
  <c r="M13" i="8"/>
  <c r="C22" i="7" l="1"/>
  <c r="L24" i="8"/>
  <c r="L35" i="8" s="1"/>
  <c r="B15" i="5" l="1"/>
  <c r="K13" i="8"/>
  <c r="N13" i="8" s="1"/>
  <c r="Q13" i="8" s="1"/>
  <c r="D10" i="33"/>
  <c r="E10" i="33" s="1"/>
  <c r="M16" i="8"/>
  <c r="B12" i="14"/>
  <c r="E22" i="7"/>
  <c r="C24" i="7"/>
  <c r="K10" i="8"/>
  <c r="B15" i="14" l="1"/>
  <c r="D12" i="14" s="1"/>
  <c r="Q10" i="8"/>
  <c r="C11" i="7"/>
  <c r="K18" i="8"/>
  <c r="F22" i="7"/>
  <c r="E24" i="7"/>
  <c r="F24" i="7" s="1"/>
  <c r="Q16" i="8"/>
  <c r="M18" i="8"/>
  <c r="B33" i="14"/>
  <c r="B37" i="14" s="1"/>
  <c r="B37" i="5"/>
  <c r="K24" i="8" l="1"/>
  <c r="N18" i="8"/>
  <c r="Q18" i="8" s="1"/>
  <c r="D4" i="33"/>
  <c r="B42" i="5"/>
  <c r="D33" i="14"/>
  <c r="D32" i="14"/>
  <c r="D30" i="14"/>
  <c r="B23" i="14"/>
  <c r="D31" i="14"/>
  <c r="D34" i="14"/>
  <c r="D36" i="14"/>
  <c r="D35" i="14"/>
  <c r="D29" i="14"/>
  <c r="E11" i="7"/>
  <c r="F11" i="7" s="1"/>
  <c r="D6" i="14"/>
  <c r="D7" i="14"/>
  <c r="D14" i="14"/>
  <c r="D10" i="14"/>
  <c r="D11" i="14"/>
  <c r="D13" i="14"/>
  <c r="D9" i="14"/>
  <c r="D8" i="14"/>
  <c r="D15" i="14" l="1"/>
  <c r="F19" i="14"/>
  <c r="E5" i="33"/>
  <c r="E4" i="33"/>
  <c r="D37" i="14"/>
  <c r="K35" i="8"/>
  <c r="N24" i="8"/>
  <c r="C8" i="7" l="1"/>
  <c r="Q24" i="8"/>
  <c r="B22" i="14"/>
  <c r="B25" i="14" l="1"/>
  <c r="E8" i="7"/>
  <c r="F8" i="7" s="1"/>
  <c r="G11" i="7"/>
  <c r="D20" i="14" l="1"/>
  <c r="D24" i="14"/>
  <c r="D21" i="14"/>
  <c r="B42" i="14"/>
  <c r="D19" i="14"/>
  <c r="D23" i="14"/>
  <c r="D22" i="14"/>
  <c r="C42" i="14" l="1"/>
  <c r="B43" i="14"/>
  <c r="D41" i="14" s="1"/>
  <c r="D25" i="14"/>
  <c r="D42" i="14" l="1"/>
  <c r="D43"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beckford</author>
  </authors>
  <commentList>
    <comment ref="A44" authorId="0" shapeId="0" xr:uid="{00000000-0006-0000-0100-000001000000}">
      <text>
        <r>
          <rPr>
            <b/>
            <sz val="10"/>
            <color indexed="81"/>
            <rFont val="Tahoma"/>
            <family val="2"/>
          </rPr>
          <t>beckford:</t>
        </r>
        <r>
          <rPr>
            <sz val="10"/>
            <color indexed="81"/>
            <rFont val="Tahoma"/>
            <family val="2"/>
          </rPr>
          <t xml:space="preserve">
Texas State Soil and Water Conservation Board
</t>
        </r>
      </text>
    </comment>
  </commentList>
</comments>
</file>

<file path=xl/sharedStrings.xml><?xml version="1.0" encoding="utf-8"?>
<sst xmlns="http://schemas.openxmlformats.org/spreadsheetml/2006/main" count="545" uniqueCount="302">
  <si>
    <t>REVENUES:</t>
  </si>
  <si>
    <t>FEDERAL</t>
  </si>
  <si>
    <t>HHS</t>
  </si>
  <si>
    <t>DOT</t>
  </si>
  <si>
    <t>HUD</t>
  </si>
  <si>
    <t>NARC</t>
  </si>
  <si>
    <t>STATE:</t>
  </si>
  <si>
    <t>TDOA</t>
  </si>
  <si>
    <t>TWC</t>
  </si>
  <si>
    <t>TXDOT</t>
  </si>
  <si>
    <t>TCEQ</t>
  </si>
  <si>
    <t>TCJD</t>
  </si>
  <si>
    <t>TDHS</t>
  </si>
  <si>
    <t>TFS</t>
  </si>
  <si>
    <t>TXAM</t>
  </si>
  <si>
    <t>TDHCA</t>
  </si>
  <si>
    <t>TSSWCB</t>
  </si>
  <si>
    <t>CSEC SERVICE FEE</t>
  </si>
  <si>
    <t>DEM</t>
  </si>
  <si>
    <t>STATE PLNG</t>
  </si>
  <si>
    <t>LOCAL:</t>
  </si>
  <si>
    <t>METRO</t>
  </si>
  <si>
    <t>HCA</t>
  </si>
  <si>
    <t>COST REIMBURSEMENT</t>
  </si>
  <si>
    <t>EDA</t>
  </si>
  <si>
    <t>LDC</t>
  </si>
  <si>
    <t>INTEREST INCOME</t>
  </si>
  <si>
    <t>WORKSHOP</t>
  </si>
  <si>
    <t>PRODUCTS SALES</t>
  </si>
  <si>
    <t>MEMBERSHIP DUES</t>
  </si>
  <si>
    <t>SUBCONTRACTOR:</t>
  </si>
  <si>
    <t>IN-KIND/PROGRAM INC</t>
  </si>
  <si>
    <t>ENTERPRISE:</t>
  </si>
  <si>
    <t>FEE</t>
  </si>
  <si>
    <t>HGAC ENERGY</t>
  </si>
  <si>
    <t>PASS THRU</t>
  </si>
  <si>
    <t>FUND BALANCE</t>
  </si>
  <si>
    <t>REQUIRED HGAC DOLLARS</t>
  </si>
  <si>
    <t>Resident</t>
  </si>
  <si>
    <t>Services</t>
  </si>
  <si>
    <t>CJD</t>
  </si>
  <si>
    <t>COOP</t>
  </si>
  <si>
    <t>HL</t>
  </si>
  <si>
    <t>ENERGY</t>
  </si>
  <si>
    <t>NEPI</t>
  </si>
  <si>
    <t>DOL</t>
  </si>
  <si>
    <t>TCJD (CJ,LET,JAG)</t>
  </si>
  <si>
    <t>TOTAL</t>
  </si>
  <si>
    <t>Allocated</t>
  </si>
  <si>
    <t>Bugeted</t>
  </si>
  <si>
    <t>Rate</t>
  </si>
  <si>
    <t>Salaries</t>
  </si>
  <si>
    <t>* Salaries &amp; Benefits do not include indirect salaries$benefits</t>
  </si>
  <si>
    <t>Benefit</t>
  </si>
  <si>
    <t>total personnel</t>
  </si>
  <si>
    <t>Indirect</t>
  </si>
  <si>
    <t>GIS</t>
  </si>
  <si>
    <t>Network</t>
  </si>
  <si>
    <t>Personnel</t>
  </si>
  <si>
    <t>Purchasing</t>
  </si>
  <si>
    <t>Printshop</t>
  </si>
  <si>
    <t>GIS Allocation</t>
  </si>
  <si>
    <t>Transp</t>
  </si>
  <si>
    <t>C&amp;E</t>
  </si>
  <si>
    <t>Data Sevice</t>
  </si>
  <si>
    <t>HOUSTON-GALVESTON AREA COUNCIL</t>
  </si>
  <si>
    <t>FISCAL YEAR 2023 REVISED</t>
  </si>
  <si>
    <t>BUDGET AND SERVICE PLAN</t>
  </si>
  <si>
    <t>INCREASE (DECREASE)</t>
  </si>
  <si>
    <t>PERCENT CHANGE</t>
  </si>
  <si>
    <t>EXPENDITURE BY AREA</t>
  </si>
  <si>
    <t>PASS - THROUGH FUNDS</t>
  </si>
  <si>
    <t>INDIRECT COST</t>
  </si>
  <si>
    <t>EXPENDITURE BY PROGRAM:</t>
  </si>
  <si>
    <t>AGING</t>
  </si>
  <si>
    <t>COMMUNITY &amp; ENVIRONMENTAL</t>
  </si>
  <si>
    <t>DATA SERVICES</t>
  </si>
  <si>
    <t>WORKFORCE</t>
  </si>
  <si>
    <t>TRANSPORTATION</t>
  </si>
  <si>
    <t>SHARED SERVICES</t>
  </si>
  <si>
    <t>LOCAL ACTIVITIES</t>
  </si>
  <si>
    <t>CAPITAL EXPENDITURES</t>
  </si>
  <si>
    <t>UNRESTRICTED FUND USE:</t>
  </si>
  <si>
    <t>SHARED SEVICES</t>
  </si>
  <si>
    <t>LOCAL DEVELOPMENT CORPORATION</t>
  </si>
  <si>
    <t>ECONOMIC DEVELOPMENT CORPORATION</t>
  </si>
  <si>
    <t xml:space="preserve">CAPITAL </t>
  </si>
  <si>
    <t>PASS - THROUGH FUND BY PROGRAM:</t>
  </si>
  <si>
    <t>COMM &amp; ENVIRON</t>
  </si>
  <si>
    <t>DATA   SERVICES</t>
  </si>
  <si>
    <t>TRANSP</t>
  </si>
  <si>
    <t>LOCAL</t>
  </si>
  <si>
    <t>FUNDING SOURCES</t>
  </si>
  <si>
    <t>US ENVIRONMENTAL PROTECTION AGENCY</t>
  </si>
  <si>
    <t>US DEPARTMENT OF ENERGY</t>
  </si>
  <si>
    <t>TEXAS DEPARTMENT OF AGRICULTURE</t>
  </si>
  <si>
    <t>COMM ON STATE EMERGENCY COMMUNICATION</t>
  </si>
  <si>
    <t>TEXAS DEPARTMENT OF EMERGENCY MANAGEMENT</t>
  </si>
  <si>
    <t>TEXAS DEPARTMENT OF TRANSPORTATION</t>
  </si>
  <si>
    <t>TEXAS CRIMINAL JUSTICE DIVISION</t>
  </si>
  <si>
    <t>TEXAS WORKFORCE COMMISSION</t>
  </si>
  <si>
    <t>TEXAS GENERAL LAND OFFICE</t>
  </si>
  <si>
    <t>TEXAS COMMISSION ON ENVIRONMENTAL QUALITY</t>
  </si>
  <si>
    <t>TEXAS HEALTH AND  HUMAN SERVICES COMMISSION</t>
  </si>
  <si>
    <t>OTHER PUBLIC AGENCIES</t>
  </si>
  <si>
    <t>LOCAL CONTRACTS</t>
  </si>
  <si>
    <t>FUND TRANSFERS</t>
  </si>
  <si>
    <t>HOUSTON-GALVESTON AREA COUNCIL LOCAL FUNDS</t>
  </si>
  <si>
    <t>TOTAL REVENUES</t>
  </si>
  <si>
    <t xml:space="preserve">NETWORK </t>
  </si>
  <si>
    <t>ADMIN</t>
  </si>
  <si>
    <t>INTERNAL  SERVICES</t>
  </si>
  <si>
    <t>EXPENSES</t>
  </si>
  <si>
    <t>SALARIES</t>
  </si>
  <si>
    <t>BENEFITS</t>
  </si>
  <si>
    <t>INDIRECT</t>
  </si>
  <si>
    <t>CONTRACTS &amp; CONSULTANT</t>
  </si>
  <si>
    <t>TRAVEL</t>
  </si>
  <si>
    <t>RENT</t>
  </si>
  <si>
    <t>COMPUTER SERVICES</t>
  </si>
  <si>
    <t>EXPENDABLE EQUIPMENT</t>
  </si>
  <si>
    <t>INTERNAL SERVICES</t>
  </si>
  <si>
    <t>OTHER DIRECT</t>
  </si>
  <si>
    <t>SUBTOTAL</t>
  </si>
  <si>
    <t>CAPITAL</t>
  </si>
  <si>
    <t>PASS-THRU</t>
  </si>
  <si>
    <t>TOTAL EXPENSES</t>
  </si>
  <si>
    <t>SCHEDULE OF SHARED ADMINISTRATION</t>
  </si>
  <si>
    <t>EMPLOYEE BENEFITS</t>
  </si>
  <si>
    <t>TOTAL PERSONNEL</t>
  </si>
  <si>
    <t>LEGAL SERVICES</t>
  </si>
  <si>
    <t>CONSULTANTS</t>
  </si>
  <si>
    <t>ACCOUNTING &amp; AUDIT</t>
  </si>
  <si>
    <t>OTHER CONTRACT SVCS</t>
  </si>
  <si>
    <t xml:space="preserve">TRAVEL </t>
  </si>
  <si>
    <t>OFFICE SUPPLIES</t>
  </si>
  <si>
    <t>MEETING EXPENSES</t>
  </si>
  <si>
    <t>PROGRAM PROMOTION</t>
  </si>
  <si>
    <t>EMPLOYEE RECRUITING</t>
  </si>
  <si>
    <t>LICENSES&amp;PERMIT</t>
  </si>
  <si>
    <t>COMMUNICATION</t>
  </si>
  <si>
    <t>PRINTING (OUTSIDE)</t>
  </si>
  <si>
    <t>BOOKS &amp; PUBLICATIONS</t>
  </si>
  <si>
    <t>MAINTENANCE &amp; REPAIR</t>
  </si>
  <si>
    <t>SOFTWARE &amp; DATABASES</t>
  </si>
  <si>
    <t>EMPLOYEE DEVELOPMENT</t>
  </si>
  <si>
    <t>POSTAGE &amp; DELIVERY</t>
  </si>
  <si>
    <t>SUBSCRIPTION</t>
  </si>
  <si>
    <t>OPERATING EXPENSES</t>
  </si>
  <si>
    <t>DEPRECIATION</t>
  </si>
  <si>
    <t>TOTAL INDIRECT</t>
  </si>
  <si>
    <t>BASIS FOR ALLOCATION:</t>
  </si>
  <si>
    <t>SALARIES PLUS BENEFITS</t>
  </si>
  <si>
    <t>INDIRECT RATE</t>
  </si>
  <si>
    <t>SCHEDULE OF BENEFITS</t>
  </si>
  <si>
    <t>RELEASE TIME:</t>
  </si>
  <si>
    <t>VACATION TIME</t>
  </si>
  <si>
    <t>SICK LEAVE</t>
  </si>
  <si>
    <t>HOLIDAY</t>
  </si>
  <si>
    <t>OTHER LEAVE</t>
  </si>
  <si>
    <t>TOTAL RELEASE TIME</t>
  </si>
  <si>
    <t>RELEASE TIME RATE</t>
  </si>
  <si>
    <t>BENEFIT PROGRAM:</t>
  </si>
  <si>
    <t>FICA &amp; MEDICARE</t>
  </si>
  <si>
    <t>GROUP INSURANCE</t>
  </si>
  <si>
    <t>RETIREMENT</t>
  </si>
  <si>
    <t>UNEMPLOYMENT INSURANCE</t>
  </si>
  <si>
    <t>WORKER'S COMPENSATION</t>
  </si>
  <si>
    <t>TOTAL BENEFIT PROGRAM</t>
  </si>
  <si>
    <t>BENEFIT PROGRAM RATE</t>
  </si>
  <si>
    <t>BENEFIT CARRY FORWARD</t>
  </si>
  <si>
    <t>TOTAL EMPLOYEE BENEFITS</t>
  </si>
  <si>
    <t>GROSS SALARIES</t>
  </si>
  <si>
    <t>LESS: RELEASE TIME</t>
  </si>
  <si>
    <t>TOTAL CHARGEABLE SALARIES</t>
  </si>
  <si>
    <t>COMBINED EMPLOYEE BENEFIT RATE</t>
  </si>
  <si>
    <t>SCHEDULE OF LOCAL NON-FUNDED EXPENDITURES</t>
  </si>
  <si>
    <t xml:space="preserve">  LEGAL  SERVICES</t>
  </si>
  <si>
    <t>OTHER CONTRACT SERVICES</t>
  </si>
  <si>
    <t>TRAVEL - OUT OF  REGION</t>
  </si>
  <si>
    <t>LEGAL NOTICE</t>
  </si>
  <si>
    <t>CAPITAL EQUIPMENT</t>
  </si>
  <si>
    <t>TOTAL LOCAL NON-FUNDED</t>
  </si>
  <si>
    <t>INTERLOCAL CONTRACTS</t>
  </si>
  <si>
    <t>GULF COAST EMERGENCY 911 DISTRICT</t>
  </si>
  <si>
    <t>DATA SALES</t>
  </si>
  <si>
    <t>FUND TRANSFER</t>
  </si>
  <si>
    <t>EXPENDITURES:</t>
  </si>
  <si>
    <t>LOCAL NON-FUNDED</t>
  </si>
  <si>
    <t>TOTAL EXPENDITURES</t>
  </si>
  <si>
    <t>CRIMINAL JUSTICE/EMERGENCY PREPAREDNESS</t>
  </si>
  <si>
    <t>COOPERATIVE PURCHASING</t>
  </si>
  <si>
    <t>EXPENDITURES</t>
  </si>
  <si>
    <t>FINAL PROJECTED FUND BALANCE</t>
  </si>
  <si>
    <t xml:space="preserve">GENERAL FUND </t>
  </si>
  <si>
    <t xml:space="preserve">ENTERPRISE FUND </t>
  </si>
  <si>
    <t xml:space="preserve">SPECIAL REV FUND </t>
  </si>
  <si>
    <t>* Salaries &amp; Benefits do not include indirect salaries and benefits</t>
  </si>
  <si>
    <t>Internal Services</t>
  </si>
  <si>
    <t>Benefits</t>
  </si>
  <si>
    <t>Internal Svc</t>
  </si>
  <si>
    <t>Data Svc</t>
  </si>
  <si>
    <t>DAR</t>
  </si>
  <si>
    <t>CE</t>
  </si>
  <si>
    <t>HS</t>
  </si>
  <si>
    <t>TS</t>
  </si>
  <si>
    <t>Total Salaries</t>
  </si>
  <si>
    <t>PROGRAM EXPENDITURES</t>
  </si>
  <si>
    <t>EMPLOYMENT &amp; TRNG</t>
  </si>
  <si>
    <t>LOCAL PROJECTS</t>
  </si>
  <si>
    <t>SHARED SVC</t>
  </si>
  <si>
    <t>TRANS</t>
  </si>
  <si>
    <t>CATEGORY EXPENDITURES</t>
  </si>
  <si>
    <t>SALARIES&amp;BENEFITS</t>
  </si>
  <si>
    <t>SAL &amp; BEN</t>
  </si>
  <si>
    <t>CONTRACTS&amp;CONSULTANTS</t>
  </si>
  <si>
    <t>CONTRACT</t>
  </si>
  <si>
    <t>DATA SERV, EQUIPMENT, TRAVEL</t>
  </si>
  <si>
    <t>OTHER</t>
  </si>
  <si>
    <t>INDIRECT COSTS</t>
  </si>
  <si>
    <t>CONSULTANT&amp;CONTR</t>
  </si>
  <si>
    <t>CONTR</t>
  </si>
  <si>
    <t>DEPREC</t>
  </si>
  <si>
    <t>SUPPLIES</t>
  </si>
  <si>
    <t>EQUIPMENT</t>
  </si>
  <si>
    <t>EQUIP</t>
  </si>
  <si>
    <t>OTHER CHARGES</t>
  </si>
  <si>
    <t>REVENUES ANALYSIS</t>
  </si>
  <si>
    <t>UNRESTRICTED(LOCAL REVENUE)</t>
  </si>
  <si>
    <t>RESTRICTED(APPLIED REVENUE)</t>
  </si>
  <si>
    <t>UNRESTRICTED REVENUE</t>
  </si>
  <si>
    <t>DUES</t>
  </si>
  <si>
    <t>INTEREST</t>
  </si>
  <si>
    <t>INTERLOCAL</t>
  </si>
  <si>
    <t>GULD COAST 911 DISTRICT</t>
  </si>
  <si>
    <t>911 DISTRICT</t>
  </si>
  <si>
    <t>UNRESTRICTED FUND USE</t>
  </si>
  <si>
    <t>SHARED SVCS</t>
  </si>
  <si>
    <t>TRASNPORTATION</t>
  </si>
  <si>
    <t>TEXAS EDUCATION AGENCY</t>
  </si>
  <si>
    <t>USE OF FUND BALANCE</t>
  </si>
  <si>
    <t>2024 REVISED</t>
  </si>
  <si>
    <t>GIS/Network</t>
  </si>
  <si>
    <t xml:space="preserve">2025 APPLIED REVENUES BY PROGRAM </t>
  </si>
  <si>
    <t>FISCAL YEAR 2025</t>
  </si>
  <si>
    <t>2025 UNRESTRICTED REVENUES &amp; EXPENSES</t>
  </si>
  <si>
    <t>2025 OVERALL FUND BALANCE</t>
  </si>
  <si>
    <t>Total needs to be zero</t>
  </si>
  <si>
    <t>FOOD AND BEVERAGE</t>
  </si>
  <si>
    <t>2025 OVERALL EXPENSES BY PROGRAMS</t>
  </si>
  <si>
    <t>Local</t>
  </si>
  <si>
    <t>ECONOMIC DEVELOPMENT ADMINISTRATION</t>
  </si>
  <si>
    <t>DATA SVCS</t>
  </si>
  <si>
    <t>EDC</t>
  </si>
  <si>
    <t>ENTERPRISE SOLUTIONS</t>
  </si>
  <si>
    <t>ES</t>
  </si>
  <si>
    <t>C &amp; E and 911 DISTRICT</t>
  </si>
  <si>
    <t>2024 INTEREST TRANSFERRED TO 2025</t>
  </si>
  <si>
    <t xml:space="preserve">TRANSFERS </t>
  </si>
  <si>
    <t>TOTAL REVENUES AND TRANSFERS</t>
  </si>
  <si>
    <t>TOTAL OTHER  EXPENSES</t>
  </si>
  <si>
    <t>EQUIP RENTAL</t>
  </si>
  <si>
    <t>SECURITY EXPENSE</t>
  </si>
  <si>
    <t>PROGRAM OUTREACH</t>
  </si>
  <si>
    <t>SUBCRIPTIONS &amp; DUES</t>
  </si>
  <si>
    <t>COMMUNICATIONS</t>
  </si>
  <si>
    <t>LICENSES&amp;PERMITS</t>
  </si>
  <si>
    <t>EMPLOYMENT DEVLP</t>
  </si>
  <si>
    <t xml:space="preserve">SOFTWARE </t>
  </si>
  <si>
    <t>MAINT &amp; REPAIR</t>
  </si>
  <si>
    <t>BOOKS &amp; PUBLICATION</t>
  </si>
  <si>
    <t>PRINTING(OUTSIDE)</t>
  </si>
  <si>
    <t>MEETING EXP</t>
  </si>
  <si>
    <t>DETAILED EXPENSE</t>
  </si>
  <si>
    <t>2025 OTHER DIRECT EXPENSES BY PROGRAMS</t>
  </si>
  <si>
    <t>INSURANCE&amp;BONDING</t>
  </si>
  <si>
    <t>TRANSFERS</t>
  </si>
  <si>
    <t>TOTAL CHANGE TO UNRESTRICTED FUND BALANCE</t>
  </si>
  <si>
    <t>TOTAL CHANGE TO OVERALL FUND BALANCE</t>
  </si>
  <si>
    <t>DETAILED EMPLOYEES</t>
  </si>
  <si>
    <t>FULL TIME</t>
  </si>
  <si>
    <t>VACANT</t>
  </si>
  <si>
    <t>PROPOSED</t>
  </si>
  <si>
    <t>TOTAL EMPLOYEES</t>
  </si>
  <si>
    <t>INSURANCE AND BONDING</t>
  </si>
  <si>
    <t>EQUIPMENT RENTAL</t>
  </si>
  <si>
    <t>NON PASS - THROUGH COSTS</t>
  </si>
  <si>
    <t>LOCAL*</t>
  </si>
  <si>
    <t>2025 LEGAL SERVICES BY PROGRAM</t>
  </si>
  <si>
    <t>-</t>
  </si>
  <si>
    <t>TRANSFER FROM ENTERPRISE FUND*</t>
  </si>
  <si>
    <t>PERCENT TO NON-PASS THROUGH</t>
  </si>
  <si>
    <t>*Salaries are 5.88% of total expenses.</t>
  </si>
  <si>
    <t>**Salaries and Benefits are 8.59% of total expenses.</t>
  </si>
  <si>
    <t>* Local includes $530,000 market adjustment.</t>
  </si>
  <si>
    <t>*Transfer from Enterprise Fund comes from the transfer to general fund strategy that was approved during the July 16th, 2024 Board meeting.</t>
  </si>
  <si>
    <t>TRANSFER FROM ENTERPRISE FUND *</t>
  </si>
  <si>
    <t>LOCAL ACTIVITIES **</t>
  </si>
  <si>
    <t>WORKSHOP/LOCAL</t>
  </si>
  <si>
    <t>** The local activities amount of $1,735,734 mainly consists of grant writing positions &amp; consultants (part of the interest reinvestment strategy) and the market study/adjustments set-aside amount. These amounts will be distributed to the departments when approved.</t>
  </si>
  <si>
    <t>**Beginning with the 2025 Budget and Service Plan, we will present a summary of full-time equivalent positions for each department and for the agency as a whole.  This provides clarity and visibility regarding our staffing levels and the need for additional capacity in various parts of our agency.  The positions included in the budget go through a robust vetting process that includes the development of department staffing plans, review by agency leadership, revenue alignment, and an onboarding timeline.  Position figures are based on the percentage of time an individual works in each applicable department; the FY25 H-GAC total FTE count of 436 accounts for 100% of each position’s time to include vacant and proposed positions.   These numbers form the basis for our various allocations and our benefit rate.”</t>
  </si>
  <si>
    <t>2025 EMPLOYEES BY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</si>
</sst>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quot;$&quot;* #,##0_);_(&quot;$&quot;* \(#,##0\);_(&quot;$&quot;* &quot;0&quot;_);_(@_)"/>
    <numFmt numFmtId="166" formatCode="_(* #,##0_);_(* \(#,##0\);_(* &quot;0&quot;_);_(@_)"/>
    <numFmt numFmtId="167" formatCode="_(&quot;$&quot;* #,##0.0000_);_(&quot;$&quot;* \(#,##0.0000\);_(&quot;$&quot;* &quot;-&quot;????_);_(@_)"/>
    <numFmt numFmtId="168" formatCode="_(* #,##0_);_(* \(#,##0\);_(* &quot;-&quot;??_);_(@_)"/>
    <numFmt numFmtId="169" formatCode="_(&quot;$&quot;* #,##0.0_);_(&quot;$&quot;* \(#,##0.0\);_(&quot;$&quot;* &quot;-&quot;?_);_(@_)"/>
    <numFmt numFmtId="170" formatCode="0.0000"/>
    <numFmt numFmtId="171" formatCode="_(&quot;$&quot;* #,##0.000000_);_(&quot;$&quot;* \(#,##0.000000\);_(&quot;$&quot;* &quot;-&quot;????_);_(@_)"/>
    <numFmt numFmtId="172" formatCode="_(* #,##0.000000_);_(* \(#,##0.000000\);_(* &quot;-&quot;??_);_(@_)"/>
  </numFmts>
  <fonts count="15"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b/>
      <sz val="10"/>
      <color indexed="81"/>
      <name val="Tahoma"/>
      <family val="2"/>
    </font>
    <font>
      <sz val="10"/>
      <color indexed="81"/>
      <name val="Tahoma"/>
      <family val="2"/>
    </font>
    <font>
      <sz val="10"/>
      <name val="Arial"/>
      <family val="2"/>
    </font>
    <font>
      <sz val="10"/>
      <name val="Arial"/>
      <family val="2"/>
    </font>
    <font>
      <b/>
      <sz val="11"/>
      <name val="Times New Roman"/>
      <family val="1"/>
    </font>
    <font>
      <sz val="11"/>
      <name val="Times New Roman"/>
      <family val="1"/>
    </font>
    <font>
      <sz val="11"/>
      <color rgb="FFFF0000"/>
      <name val="Times New Roman"/>
      <family val="1"/>
    </font>
    <font>
      <sz val="10"/>
      <name val="Arial"/>
      <family val="2"/>
    </font>
    <font>
      <b/>
      <u/>
      <sz val="11"/>
      <name val="Times New Roman"/>
      <family val="1"/>
    </font>
    <font>
      <sz val="11"/>
      <color rgb="FF242424"/>
      <name val="Segoe UI"/>
      <family val="2"/>
    </font>
  </fonts>
  <fills count="8">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FFF00"/>
        <bgColor indexed="64"/>
      </patternFill>
    </fill>
  </fills>
  <borders count="63">
    <border>
      <left/>
      <right/>
      <top/>
      <bottom/>
      <diagonal/>
    </border>
    <border>
      <left/>
      <right/>
      <top/>
      <bottom style="double">
        <color indexed="64"/>
      </bottom>
      <diagonal/>
    </border>
    <border>
      <left/>
      <right/>
      <top/>
      <bottom style="thin">
        <color indexed="64"/>
      </bottom>
      <diagonal/>
    </border>
    <border>
      <left/>
      <right/>
      <top/>
      <bottom style="medium">
        <color indexed="64"/>
      </bottom>
      <diagonal/>
    </border>
    <border>
      <left/>
      <right/>
      <top style="medium">
        <color indexed="64"/>
      </top>
      <bottom style="double">
        <color indexed="64"/>
      </bottom>
      <diagonal/>
    </border>
    <border>
      <left/>
      <right/>
      <top style="double">
        <color indexed="64"/>
      </top>
      <bottom style="double">
        <color indexed="64"/>
      </bottom>
      <diagonal/>
    </border>
    <border>
      <left style="medium">
        <color theme="0" tint="-0.14996795556505021"/>
      </left>
      <right/>
      <top style="medium">
        <color theme="0" tint="-0.14996795556505021"/>
      </top>
      <bottom/>
      <diagonal/>
    </border>
    <border>
      <left/>
      <right/>
      <top style="medium">
        <color theme="0" tint="-0.14996795556505021"/>
      </top>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style="medium">
        <color theme="0" tint="-0.24994659260841701"/>
      </left>
      <right/>
      <top/>
      <bottom style="medium">
        <color theme="0" tint="-0.24994659260841701"/>
      </bottom>
      <diagonal/>
    </border>
    <border>
      <left/>
      <right style="medium">
        <color theme="0" tint="-0.24994659260841701"/>
      </right>
      <top/>
      <bottom style="medium">
        <color theme="0" tint="-0.24994659260841701"/>
      </bottom>
      <diagonal/>
    </border>
    <border>
      <left/>
      <right/>
      <top/>
      <bottom style="medium">
        <color theme="0" tint="-0.24994659260841701"/>
      </bottom>
      <diagonal/>
    </border>
    <border>
      <left style="thin">
        <color theme="0" tint="-0.24994659260841701"/>
      </left>
      <right style="thin">
        <color theme="0" tint="-0.24994659260841701"/>
      </right>
      <top style="thin">
        <color theme="0" tint="-0.24994659260841701"/>
      </top>
      <bottom/>
      <diagonal/>
    </border>
    <border>
      <left/>
      <right style="medium">
        <color theme="0" tint="-0.24994659260841701"/>
      </right>
      <top/>
      <bottom style="medium">
        <color indexed="64"/>
      </bottom>
      <diagonal/>
    </border>
    <border>
      <left/>
      <right style="medium">
        <color theme="0" tint="-0.24994659260841701"/>
      </right>
      <top style="medium">
        <color indexed="64"/>
      </top>
      <bottom style="double">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theme="0" tint="-0.24994659260841701"/>
      </right>
      <top style="thin">
        <color theme="0" tint="-0.14996795556505021"/>
      </top>
      <bottom style="thin">
        <color theme="0" tint="-0.14996795556505021"/>
      </bottom>
      <diagonal/>
    </border>
    <border>
      <left/>
      <right style="medium">
        <color theme="0" tint="-0.24994659260841701"/>
      </right>
      <top/>
      <bottom style="double">
        <color indexed="64"/>
      </bottom>
      <diagonal/>
    </border>
    <border>
      <left style="medium">
        <color theme="0" tint="-4.9989318521683403E-2"/>
      </left>
      <right style="medium">
        <color theme="0" tint="-4.9989318521683403E-2"/>
      </right>
      <top/>
      <bottom style="medium">
        <color theme="0" tint="-4.9989318521683403E-2"/>
      </bottom>
      <diagonal/>
    </border>
    <border>
      <left style="medium">
        <color theme="0" tint="-4.9989318521683403E-2"/>
      </left>
      <right style="medium">
        <color theme="0" tint="-0.24994659260841701"/>
      </right>
      <top/>
      <bottom style="medium">
        <color theme="0" tint="-4.9989318521683403E-2"/>
      </bottom>
      <diagonal/>
    </border>
    <border>
      <left style="medium">
        <color theme="0" tint="-4.9989318521683403E-2"/>
      </left>
      <right style="medium">
        <color theme="0" tint="-4.9989318521683403E-2"/>
      </right>
      <top style="medium">
        <color theme="0" tint="-4.9989318521683403E-2"/>
      </top>
      <bottom style="medium">
        <color theme="0" tint="-4.9989318521683403E-2"/>
      </bottom>
      <diagonal/>
    </border>
    <border>
      <left style="medium">
        <color theme="0" tint="-4.9989318521683403E-2"/>
      </left>
      <right style="medium">
        <color theme="0" tint="-0.24994659260841701"/>
      </right>
      <top style="medium">
        <color theme="0" tint="-4.9989318521683403E-2"/>
      </top>
      <bottom style="medium">
        <color theme="0" tint="-4.9989318521683403E-2"/>
      </bottom>
      <diagonal/>
    </border>
    <border>
      <left style="medium">
        <color theme="0" tint="-4.9989318521683403E-2"/>
      </left>
      <right style="medium">
        <color theme="0" tint="-4.9989318521683403E-2"/>
      </right>
      <top style="medium">
        <color theme="0" tint="-4.9989318521683403E-2"/>
      </top>
      <bottom style="medium">
        <color indexed="64"/>
      </bottom>
      <diagonal/>
    </border>
    <border>
      <left style="thin">
        <color theme="1" tint="0.499984740745262"/>
      </left>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medium">
        <color theme="0" tint="-4.9989318521683403E-2"/>
      </left>
      <right style="medium">
        <color theme="0" tint="-4.9989318521683403E-2"/>
      </right>
      <top style="medium">
        <color indexed="64"/>
      </top>
      <bottom style="medium">
        <color theme="0" tint="-4.9989318521683403E-2"/>
      </bottom>
      <diagonal/>
    </border>
    <border>
      <left style="medium">
        <color theme="0" tint="-4.9989318521683403E-2"/>
      </left>
      <right style="medium">
        <color theme="0" tint="-4.9989318521683403E-2"/>
      </right>
      <top style="medium">
        <color theme="0" tint="-4.9989318521683403E-2"/>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medium">
        <color theme="0" tint="-0.24994659260841701"/>
      </bottom>
      <diagonal/>
    </border>
    <border>
      <left style="thin">
        <color indexed="64"/>
      </left>
      <right/>
      <top/>
      <bottom style="thin">
        <color indexed="64"/>
      </bottom>
      <diagonal/>
    </border>
    <border>
      <left/>
      <right style="thin">
        <color indexed="64"/>
      </right>
      <top/>
      <bottom style="medium">
        <color indexed="64"/>
      </bottom>
      <diagonal/>
    </border>
    <border>
      <left/>
      <right style="thin">
        <color indexed="64"/>
      </right>
      <top/>
      <bottom style="double">
        <color indexed="64"/>
      </bottom>
      <diagonal/>
    </border>
    <border>
      <left/>
      <right style="thin">
        <color indexed="64"/>
      </right>
      <top style="double">
        <color indexed="64"/>
      </top>
      <bottom style="double">
        <color indexed="64"/>
      </bottom>
      <diagonal/>
    </border>
    <border>
      <left/>
      <right/>
      <top style="thin">
        <color indexed="64"/>
      </top>
      <bottom style="thin">
        <color indexed="64"/>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medium">
        <color theme="0" tint="-0.14993743705557422"/>
      </left>
      <right/>
      <top style="medium">
        <color theme="0" tint="-0.14993743705557422"/>
      </top>
      <bottom/>
      <diagonal/>
    </border>
    <border>
      <left style="medium">
        <color theme="0" tint="-4.9989318521683403E-2"/>
      </left>
      <right style="medium">
        <color theme="0" tint="-4.9989318521683403E-2"/>
      </right>
      <top style="medium">
        <color theme="0" tint="-0.14993743705557422"/>
      </top>
      <bottom style="medium">
        <color theme="0" tint="-4.9989318521683403E-2"/>
      </bottom>
      <diagonal/>
    </border>
    <border>
      <left style="medium">
        <color theme="0" tint="-0.14993743705557422"/>
      </left>
      <right/>
      <top/>
      <bottom/>
      <diagonal/>
    </border>
    <border>
      <left style="medium">
        <color theme="0" tint="-0.14993743705557422"/>
      </left>
      <right/>
      <top/>
      <bottom style="medium">
        <color theme="0" tint="-0.14993743705557422"/>
      </bottom>
      <diagonal/>
    </border>
    <border>
      <left/>
      <right/>
      <top/>
      <bottom style="medium">
        <color theme="0" tint="-0.14993743705557422"/>
      </bottom>
      <diagonal/>
    </border>
    <border>
      <left/>
      <right style="medium">
        <color theme="0" tint="-0.14993743705557422"/>
      </right>
      <top/>
      <bottom style="medium">
        <color theme="0" tint="-0.14993743705557422"/>
      </bottom>
      <diagonal/>
    </border>
    <border>
      <left/>
      <right style="medium">
        <color theme="0" tint="-0.24994659260841701"/>
      </right>
      <top style="medium">
        <color auto="1"/>
      </top>
      <bottom/>
      <diagonal/>
    </border>
    <border>
      <left style="medium">
        <color theme="0" tint="-4.9989318521683403E-2"/>
      </left>
      <right style="medium">
        <color theme="0" tint="-0.24994659260841701"/>
      </right>
      <top style="medium">
        <color theme="0" tint="-4.9989318521683403E-2"/>
      </top>
      <bottom/>
      <diagonal/>
    </border>
    <border>
      <left/>
      <right style="thin">
        <color indexed="64"/>
      </right>
      <top style="medium">
        <color indexed="64"/>
      </top>
      <bottom style="double">
        <color indexed="64"/>
      </bottom>
      <diagonal/>
    </border>
    <border>
      <left/>
      <right style="thin">
        <color auto="1"/>
      </right>
      <top/>
      <bottom style="thin">
        <color theme="1" tint="0.499984740745262"/>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medium">
        <color indexed="64"/>
      </top>
      <bottom/>
      <diagonal/>
    </border>
    <border>
      <left style="medium">
        <color theme="0" tint="-4.9989318521683403E-2"/>
      </left>
      <right/>
      <top/>
      <bottom style="medium">
        <color theme="0" tint="-4.9989318521683403E-2"/>
      </bottom>
      <diagonal/>
    </border>
  </borders>
  <cellStyleXfs count="16">
    <xf numFmtId="0" fontId="0" fillId="0" borderId="0"/>
    <xf numFmtId="0" fontId="2"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3" fillId="0" borderId="0">
      <alignment horizontal="right" vertical="center" indent="1"/>
    </xf>
    <xf numFmtId="0" fontId="3" fillId="0" borderId="3">
      <alignment horizontal="center"/>
    </xf>
    <xf numFmtId="0" fontId="3" fillId="0" borderId="0">
      <alignment horizontal="left" vertical="center"/>
    </xf>
    <xf numFmtId="42" fontId="7" fillId="0" borderId="4"/>
    <xf numFmtId="0" fontId="3" fillId="0" borderId="16">
      <alignment horizontal="center" wrapText="1"/>
    </xf>
    <xf numFmtId="43" fontId="8"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0" fontId="1" fillId="0" borderId="0"/>
    <xf numFmtId="9" fontId="4" fillId="0" borderId="0" applyFont="0" applyFill="0" applyBorder="0" applyAlignment="0" applyProtection="0"/>
    <xf numFmtId="42" fontId="4" fillId="0" borderId="4"/>
  </cellStyleXfs>
  <cellXfs count="258">
    <xf numFmtId="0" fontId="0" fillId="0" borderId="0" xfId="0"/>
    <xf numFmtId="0" fontId="3" fillId="0" borderId="0" xfId="0" applyFont="1" applyAlignment="1">
      <alignment horizontal="center"/>
    </xf>
    <xf numFmtId="0" fontId="0" fillId="0" borderId="0" xfId="0" applyAlignment="1">
      <alignment horizontal="center"/>
    </xf>
    <xf numFmtId="0" fontId="4" fillId="0" borderId="0" xfId="0" applyFont="1"/>
    <xf numFmtId="164" fontId="0" fillId="0" borderId="0" xfId="0" applyNumberFormat="1"/>
    <xf numFmtId="10" fontId="0" fillId="0" borderId="0" xfId="0" applyNumberFormat="1"/>
    <xf numFmtId="3" fontId="0" fillId="0" borderId="0" xfId="0" applyNumberFormat="1"/>
    <xf numFmtId="1" fontId="0" fillId="0" borderId="0" xfId="0" applyNumberFormat="1"/>
    <xf numFmtId="0" fontId="0" fillId="0" borderId="0" xfId="0" applyAlignment="1">
      <alignment horizontal="left"/>
    </xf>
    <xf numFmtId="3" fontId="0" fillId="0" borderId="0" xfId="0" applyNumberFormat="1" applyAlignment="1">
      <alignment vertical="center"/>
    </xf>
    <xf numFmtId="0" fontId="0" fillId="2" borderId="0" xfId="0" applyFill="1"/>
    <xf numFmtId="3" fontId="0" fillId="2" borderId="0" xfId="0" applyNumberFormat="1" applyFill="1"/>
    <xf numFmtId="0" fontId="0" fillId="3" borderId="0" xfId="0" applyFill="1"/>
    <xf numFmtId="3" fontId="0" fillId="3" borderId="0" xfId="0" applyNumberFormat="1" applyFill="1"/>
    <xf numFmtId="1" fontId="4" fillId="0" borderId="0" xfId="0" applyNumberFormat="1" applyFont="1"/>
    <xf numFmtId="0" fontId="0" fillId="4" borderId="0" xfId="0" applyFill="1"/>
    <xf numFmtId="3" fontId="0" fillId="4" borderId="0" xfId="0" applyNumberFormat="1" applyFill="1"/>
    <xf numFmtId="0" fontId="0" fillId="5" borderId="0" xfId="0" applyFill="1"/>
    <xf numFmtId="3" fontId="0" fillId="5" borderId="0" xfId="0" applyNumberFormat="1" applyFill="1"/>
    <xf numFmtId="3" fontId="4" fillId="0" borderId="0" xfId="0" applyNumberFormat="1" applyFont="1"/>
    <xf numFmtId="41" fontId="0" fillId="0" borderId="0" xfId="0" applyNumberFormat="1"/>
    <xf numFmtId="41" fontId="4" fillId="0" borderId="0" xfId="0" applyNumberFormat="1" applyFont="1"/>
    <xf numFmtId="42" fontId="0" fillId="0" borderId="0" xfId="0" applyNumberFormat="1"/>
    <xf numFmtId="0" fontId="4" fillId="7" borderId="0" xfId="0" applyFont="1" applyFill="1"/>
    <xf numFmtId="43" fontId="0" fillId="0" borderId="0" xfId="0" applyNumberFormat="1"/>
    <xf numFmtId="0" fontId="0" fillId="0" borderId="0" xfId="0" applyAlignment="1">
      <alignment wrapText="1"/>
    </xf>
    <xf numFmtId="3" fontId="0" fillId="0" borderId="2" xfId="0" applyNumberFormat="1" applyBorder="1"/>
    <xf numFmtId="43" fontId="0" fillId="0" borderId="0" xfId="10" applyFont="1"/>
    <xf numFmtId="0" fontId="9" fillId="0" borderId="0" xfId="0" applyFont="1"/>
    <xf numFmtId="3" fontId="9" fillId="0" borderId="0" xfId="0" applyNumberFormat="1" applyFont="1"/>
    <xf numFmtId="3" fontId="10" fillId="0" borderId="0" xfId="0" applyNumberFormat="1" applyFont="1"/>
    <xf numFmtId="0" fontId="10" fillId="0" borderId="0" xfId="0" applyFont="1"/>
    <xf numFmtId="0" fontId="10" fillId="3" borderId="0" xfId="0" applyFont="1" applyFill="1"/>
    <xf numFmtId="0" fontId="9" fillId="0" borderId="16" xfId="9" applyFont="1">
      <alignment horizontal="center" wrapText="1"/>
    </xf>
    <xf numFmtId="0" fontId="9" fillId="6" borderId="6" xfId="7" applyFont="1" applyFill="1" applyBorder="1">
      <alignment horizontal="left" vertical="center"/>
    </xf>
    <xf numFmtId="3" fontId="10" fillId="6" borderId="7" xfId="0" applyNumberFormat="1" applyFont="1" applyFill="1" applyBorder="1"/>
    <xf numFmtId="0" fontId="9" fillId="0" borderId="47" xfId="5" applyFont="1" applyBorder="1">
      <alignment horizontal="right" vertical="center" indent="1"/>
    </xf>
    <xf numFmtId="42" fontId="10" fillId="0" borderId="48" xfId="0" applyNumberFormat="1" applyFont="1" applyBorder="1"/>
    <xf numFmtId="0" fontId="9" fillId="0" borderId="49" xfId="5" applyFont="1" applyBorder="1">
      <alignment horizontal="right" vertical="center" indent="1"/>
    </xf>
    <xf numFmtId="42" fontId="10" fillId="0" borderId="0" xfId="0" applyNumberFormat="1" applyFont="1"/>
    <xf numFmtId="166" fontId="10" fillId="0" borderId="0" xfId="0" applyNumberFormat="1" applyFont="1"/>
    <xf numFmtId="42" fontId="10" fillId="0" borderId="30" xfId="0" applyNumberFormat="1" applyFont="1" applyBorder="1"/>
    <xf numFmtId="3" fontId="10" fillId="0" borderId="24" xfId="0" applyNumberFormat="1" applyFont="1" applyBorder="1"/>
    <xf numFmtId="42" fontId="10" fillId="0" borderId="24" xfId="0" applyNumberFormat="1" applyFont="1" applyBorder="1"/>
    <xf numFmtId="0" fontId="9" fillId="3" borderId="49" xfId="5" applyFont="1" applyFill="1" applyBorder="1">
      <alignment horizontal="right" vertical="center" indent="1"/>
    </xf>
    <xf numFmtId="10" fontId="10" fillId="0" borderId="31" xfId="0" applyNumberFormat="1" applyFont="1" applyBorder="1"/>
    <xf numFmtId="0" fontId="10" fillId="0" borderId="50" xfId="0" applyFont="1" applyBorder="1"/>
    <xf numFmtId="3" fontId="10" fillId="0" borderId="51" xfId="0" applyNumberFormat="1" applyFont="1" applyBorder="1"/>
    <xf numFmtId="3" fontId="10" fillId="0" borderId="52" xfId="0" applyNumberFormat="1" applyFont="1" applyBorder="1"/>
    <xf numFmtId="0" fontId="9" fillId="0" borderId="0" xfId="0" applyFont="1" applyAlignment="1">
      <alignment horizontal="center"/>
    </xf>
    <xf numFmtId="15" fontId="10" fillId="0" borderId="0" xfId="0" applyNumberFormat="1" applyFont="1"/>
    <xf numFmtId="0" fontId="10" fillId="0" borderId="0" xfId="0" applyFont="1" applyAlignment="1">
      <alignment horizontal="center"/>
    </xf>
    <xf numFmtId="0" fontId="9" fillId="0" borderId="16" xfId="6" applyFont="1" applyBorder="1" applyAlignment="1">
      <alignment horizontal="center" wrapText="1"/>
    </xf>
    <xf numFmtId="0" fontId="9" fillId="6" borderId="8" xfId="5" applyFont="1" applyFill="1" applyBorder="1" applyAlignment="1">
      <alignment horizontal="left" vertical="center"/>
    </xf>
    <xf numFmtId="0" fontId="10" fillId="6" borderId="9" xfId="0" applyFont="1" applyFill="1" applyBorder="1"/>
    <xf numFmtId="0" fontId="10" fillId="6" borderId="10" xfId="0" applyFont="1" applyFill="1" applyBorder="1"/>
    <xf numFmtId="0" fontId="9" fillId="0" borderId="11" xfId="5" applyFont="1" applyBorder="1">
      <alignment horizontal="right" vertical="center" indent="1"/>
    </xf>
    <xf numFmtId="10" fontId="10" fillId="0" borderId="0" xfId="0" applyNumberFormat="1" applyFont="1"/>
    <xf numFmtId="10" fontId="10" fillId="0" borderId="12" xfId="0" applyNumberFormat="1" applyFont="1" applyBorder="1"/>
    <xf numFmtId="10" fontId="10" fillId="0" borderId="3" xfId="0" applyNumberFormat="1" applyFont="1" applyBorder="1"/>
    <xf numFmtId="3" fontId="10" fillId="0" borderId="3" xfId="0" applyNumberFormat="1" applyFont="1" applyBorder="1"/>
    <xf numFmtId="10" fontId="10" fillId="0" borderId="17" xfId="0" applyNumberFormat="1" applyFont="1" applyBorder="1"/>
    <xf numFmtId="42" fontId="10" fillId="0" borderId="4" xfId="8" applyFont="1"/>
    <xf numFmtId="10" fontId="10" fillId="0" borderId="4" xfId="8" applyNumberFormat="1" applyFont="1"/>
    <xf numFmtId="10" fontId="10" fillId="0" borderId="21" xfId="0" applyNumberFormat="1" applyFont="1" applyBorder="1"/>
    <xf numFmtId="0" fontId="9" fillId="0" borderId="13" xfId="5" applyFont="1" applyBorder="1">
      <alignment horizontal="right" vertical="center" indent="1"/>
    </xf>
    <xf numFmtId="3" fontId="10" fillId="0" borderId="15" xfId="0" applyNumberFormat="1" applyFont="1" applyBorder="1"/>
    <xf numFmtId="10" fontId="10" fillId="0" borderId="15" xfId="0" applyNumberFormat="1" applyFont="1" applyBorder="1"/>
    <xf numFmtId="10" fontId="10" fillId="0" borderId="14" xfId="0" applyNumberFormat="1" applyFont="1" applyBorder="1"/>
    <xf numFmtId="3" fontId="10" fillId="6" borderId="9" xfId="0" applyNumberFormat="1" applyFont="1" applyFill="1" applyBorder="1"/>
    <xf numFmtId="10" fontId="10" fillId="6" borderId="9" xfId="0" applyNumberFormat="1" applyFont="1" applyFill="1" applyBorder="1"/>
    <xf numFmtId="10" fontId="10" fillId="6" borderId="10" xfId="0" applyNumberFormat="1" applyFont="1" applyFill="1" applyBorder="1"/>
    <xf numFmtId="41" fontId="10" fillId="0" borderId="0" xfId="0" applyNumberFormat="1" applyFont="1"/>
    <xf numFmtId="41" fontId="10" fillId="0" borderId="3" xfId="0" applyNumberFormat="1" applyFont="1" applyBorder="1"/>
    <xf numFmtId="42" fontId="10" fillId="0" borderId="4" xfId="0" applyNumberFormat="1" applyFont="1" applyBorder="1"/>
    <xf numFmtId="10" fontId="10" fillId="0" borderId="4" xfId="0" applyNumberFormat="1" applyFont="1" applyBorder="1"/>
    <xf numFmtId="0" fontId="9" fillId="0" borderId="0" xfId="5" applyFont="1">
      <alignment horizontal="right" vertical="center" indent="1"/>
    </xf>
    <xf numFmtId="0" fontId="10" fillId="0" borderId="13" xfId="0" applyFont="1" applyBorder="1"/>
    <xf numFmtId="0" fontId="10" fillId="0" borderId="0" xfId="0" applyFont="1" applyAlignment="1">
      <alignment vertical="center"/>
    </xf>
    <xf numFmtId="0" fontId="9" fillId="0" borderId="0" xfId="0" applyFont="1" applyAlignment="1">
      <alignment vertical="center"/>
    </xf>
    <xf numFmtId="0" fontId="10" fillId="0" borderId="0" xfId="0" applyFont="1" applyAlignment="1">
      <alignment horizontal="center" vertical="center"/>
    </xf>
    <xf numFmtId="0" fontId="9" fillId="6" borderId="8" xfId="7" applyFont="1" applyFill="1" applyBorder="1">
      <alignment horizontal="left" vertical="center"/>
    </xf>
    <xf numFmtId="3" fontId="10" fillId="6" borderId="9" xfId="0" applyNumberFormat="1" applyFont="1" applyFill="1" applyBorder="1" applyAlignment="1">
      <alignment vertical="center"/>
    </xf>
    <xf numFmtId="3" fontId="10" fillId="6" borderId="10" xfId="0" applyNumberFormat="1" applyFont="1" applyFill="1" applyBorder="1" applyAlignment="1">
      <alignment vertical="center"/>
    </xf>
    <xf numFmtId="0" fontId="9" fillId="0" borderId="0" xfId="0" applyFont="1" applyAlignment="1">
      <alignment horizontal="center" vertical="center"/>
    </xf>
    <xf numFmtId="41" fontId="10" fillId="0" borderId="19" xfId="0" applyNumberFormat="1" applyFont="1" applyBorder="1" applyAlignment="1">
      <alignment vertical="center"/>
    </xf>
    <xf numFmtId="41" fontId="10" fillId="0" borderId="20" xfId="0" applyNumberFormat="1" applyFont="1" applyBorder="1" applyAlignment="1">
      <alignment vertical="center"/>
    </xf>
    <xf numFmtId="42" fontId="10" fillId="0" borderId="0" xfId="0" applyNumberFormat="1" applyFont="1" applyAlignment="1">
      <alignment vertical="center"/>
    </xf>
    <xf numFmtId="41" fontId="10" fillId="0" borderId="44" xfId="0" applyNumberFormat="1" applyFont="1" applyBorder="1" applyAlignment="1">
      <alignment vertical="center"/>
    </xf>
    <xf numFmtId="41" fontId="10" fillId="0" borderId="0" xfId="0" applyNumberFormat="1" applyFont="1" applyAlignment="1">
      <alignment vertical="center"/>
    </xf>
    <xf numFmtId="41" fontId="10" fillId="0" borderId="45" xfId="0" applyNumberFormat="1" applyFont="1" applyBorder="1" applyAlignment="1">
      <alignment vertical="center"/>
    </xf>
    <xf numFmtId="41" fontId="10" fillId="0" borderId="46" xfId="0" applyNumberFormat="1" applyFont="1" applyBorder="1" applyAlignment="1">
      <alignment vertical="center"/>
    </xf>
    <xf numFmtId="42" fontId="10" fillId="0" borderId="18" xfId="8" applyFont="1" applyBorder="1"/>
    <xf numFmtId="0" fontId="10" fillId="0" borderId="13" xfId="0" applyFont="1" applyBorder="1" applyAlignment="1">
      <alignment vertical="center"/>
    </xf>
    <xf numFmtId="0" fontId="10" fillId="0" borderId="15" xfId="0" applyFont="1" applyBorder="1" applyAlignment="1">
      <alignment vertical="center"/>
    </xf>
    <xf numFmtId="0" fontId="10" fillId="0" borderId="14" xfId="0" applyFont="1" applyBorder="1" applyAlignment="1">
      <alignment vertical="center"/>
    </xf>
    <xf numFmtId="0" fontId="9" fillId="3" borderId="16" xfId="9" applyFont="1" applyFill="1">
      <alignment horizontal="center" wrapText="1"/>
    </xf>
    <xf numFmtId="165" fontId="10" fillId="0" borderId="0" xfId="0" applyNumberFormat="1" applyFont="1" applyAlignment="1">
      <alignment vertical="center"/>
    </xf>
    <xf numFmtId="0" fontId="10" fillId="6" borderId="9" xfId="0" applyFont="1" applyFill="1" applyBorder="1" applyAlignment="1">
      <alignment vertical="center"/>
    </xf>
    <xf numFmtId="0" fontId="10" fillId="6" borderId="10" xfId="0" applyFont="1" applyFill="1" applyBorder="1" applyAlignment="1">
      <alignment vertical="center"/>
    </xf>
    <xf numFmtId="166" fontId="10" fillId="0" borderId="0" xfId="0" applyNumberFormat="1" applyFont="1" applyAlignment="1">
      <alignment vertical="center"/>
    </xf>
    <xf numFmtId="44" fontId="10" fillId="0" borderId="0" xfId="0" applyNumberFormat="1" applyFont="1" applyAlignment="1">
      <alignment vertical="center"/>
    </xf>
    <xf numFmtId="0" fontId="9" fillId="6" borderId="32" xfId="7" applyFont="1" applyFill="1" applyBorder="1">
      <alignment horizontal="left" vertical="center"/>
    </xf>
    <xf numFmtId="0" fontId="10" fillId="6" borderId="33" xfId="0" applyFont="1" applyFill="1" applyBorder="1"/>
    <xf numFmtId="0" fontId="10" fillId="6" borderId="34" xfId="0" applyFont="1" applyFill="1" applyBorder="1"/>
    <xf numFmtId="0" fontId="9" fillId="0" borderId="35" xfId="5" applyFont="1" applyBorder="1">
      <alignment horizontal="right" vertical="center" indent="1"/>
    </xf>
    <xf numFmtId="42" fontId="10" fillId="0" borderId="36" xfId="0" applyNumberFormat="1" applyFont="1" applyBorder="1"/>
    <xf numFmtId="3" fontId="10" fillId="0" borderId="36" xfId="0" applyNumberFormat="1" applyFont="1" applyBorder="1"/>
    <xf numFmtId="42" fontId="10" fillId="0" borderId="2" xfId="0" applyNumberFormat="1" applyFont="1" applyBorder="1"/>
    <xf numFmtId="42" fontId="10" fillId="0" borderId="37" xfId="0" applyNumberFormat="1" applyFont="1" applyBorder="1"/>
    <xf numFmtId="0" fontId="9" fillId="0" borderId="39" xfId="5" applyFont="1" applyBorder="1">
      <alignment horizontal="right" vertical="center" indent="1"/>
    </xf>
    <xf numFmtId="10" fontId="10" fillId="0" borderId="2" xfId="0" applyNumberFormat="1" applyFont="1" applyBorder="1"/>
    <xf numFmtId="10" fontId="10" fillId="0" borderId="37" xfId="0" applyNumberFormat="1" applyFont="1" applyBorder="1"/>
    <xf numFmtId="3" fontId="10" fillId="6" borderId="33" xfId="0" applyNumberFormat="1" applyFont="1" applyFill="1" applyBorder="1"/>
    <xf numFmtId="3" fontId="10" fillId="6" borderId="34" xfId="0" applyNumberFormat="1" applyFont="1" applyFill="1" applyBorder="1"/>
    <xf numFmtId="0" fontId="9" fillId="0" borderId="32" xfId="5" applyFont="1" applyBorder="1">
      <alignment horizontal="right" vertical="center" indent="1"/>
    </xf>
    <xf numFmtId="164" fontId="10" fillId="0" borderId="0" xfId="0" applyNumberFormat="1" applyFont="1"/>
    <xf numFmtId="164" fontId="10" fillId="0" borderId="34" xfId="0" applyNumberFormat="1" applyFont="1" applyBorder="1"/>
    <xf numFmtId="0" fontId="9" fillId="6" borderId="35" xfId="7" applyFont="1" applyFill="1" applyBorder="1">
      <alignment horizontal="left" vertical="center"/>
    </xf>
    <xf numFmtId="166" fontId="10" fillId="6" borderId="0" xfId="0" applyNumberFormat="1" applyFont="1" applyFill="1"/>
    <xf numFmtId="166" fontId="10" fillId="6" borderId="36" xfId="0" applyNumberFormat="1" applyFont="1" applyFill="1" applyBorder="1"/>
    <xf numFmtId="0" fontId="9" fillId="0" borderId="27" xfId="5" applyFont="1" applyBorder="1">
      <alignment horizontal="right" vertical="center" indent="1"/>
    </xf>
    <xf numFmtId="3" fontId="10" fillId="0" borderId="40" xfId="0" applyNumberFormat="1" applyFont="1" applyBorder="1"/>
    <xf numFmtId="42" fontId="10" fillId="0" borderId="1" xfId="0" applyNumberFormat="1" applyFont="1" applyBorder="1"/>
    <xf numFmtId="42" fontId="10" fillId="0" borderId="41" xfId="0" applyNumberFormat="1" applyFont="1" applyBorder="1"/>
    <xf numFmtId="0" fontId="9" fillId="6" borderId="27" xfId="7" applyFont="1" applyFill="1" applyBorder="1">
      <alignment horizontal="left" vertical="center"/>
    </xf>
    <xf numFmtId="3" fontId="10" fillId="6" borderId="0" xfId="0" applyNumberFormat="1" applyFont="1" applyFill="1"/>
    <xf numFmtId="3" fontId="10" fillId="6" borderId="36" xfId="0" applyNumberFormat="1" applyFont="1" applyFill="1" applyBorder="1"/>
    <xf numFmtId="0" fontId="10" fillId="0" borderId="36" xfId="0" applyFont="1" applyBorder="1"/>
    <xf numFmtId="10" fontId="10" fillId="0" borderId="1" xfId="0" applyNumberFormat="1" applyFont="1" applyBorder="1"/>
    <xf numFmtId="10" fontId="10" fillId="0" borderId="41" xfId="0" applyNumberFormat="1" applyFont="1" applyBorder="1"/>
    <xf numFmtId="0" fontId="10" fillId="0" borderId="28" xfId="0" applyFont="1" applyBorder="1"/>
    <xf numFmtId="0" fontId="10" fillId="0" borderId="29" xfId="0" applyFont="1" applyBorder="1"/>
    <xf numFmtId="0" fontId="10" fillId="0" borderId="56" xfId="0" applyFont="1" applyBorder="1"/>
    <xf numFmtId="0" fontId="9" fillId="6" borderId="32" xfId="0" applyFont="1" applyFill="1" applyBorder="1"/>
    <xf numFmtId="0" fontId="10" fillId="0" borderId="39" xfId="0" applyFont="1" applyBorder="1"/>
    <xf numFmtId="3" fontId="10" fillId="0" borderId="2" xfId="0" applyNumberFormat="1" applyFont="1" applyBorder="1"/>
    <xf numFmtId="3" fontId="10" fillId="0" borderId="37" xfId="0" applyNumberFormat="1" applyFont="1" applyBorder="1"/>
    <xf numFmtId="41" fontId="10" fillId="0" borderId="36" xfId="0" applyNumberFormat="1" applyFont="1" applyBorder="1"/>
    <xf numFmtId="41" fontId="10" fillId="0" borderId="40" xfId="0" applyNumberFormat="1" applyFont="1" applyBorder="1"/>
    <xf numFmtId="0" fontId="9" fillId="0" borderId="38" xfId="5" applyFont="1" applyBorder="1">
      <alignment horizontal="right" vertical="center" indent="1"/>
    </xf>
    <xf numFmtId="0" fontId="9" fillId="6" borderId="35" xfId="5" applyFont="1" applyFill="1" applyBorder="1">
      <alignment horizontal="right" vertical="center" indent="1"/>
    </xf>
    <xf numFmtId="42" fontId="10" fillId="6" borderId="55" xfId="0" applyNumberFormat="1" applyFont="1" applyFill="1" applyBorder="1"/>
    <xf numFmtId="0" fontId="10" fillId="0" borderId="2" xfId="0" applyFont="1" applyBorder="1"/>
    <xf numFmtId="0" fontId="10" fillId="0" borderId="37" xfId="0" applyFont="1" applyBorder="1"/>
    <xf numFmtId="3" fontId="11" fillId="0" borderId="0" xfId="0" applyNumberFormat="1" applyFont="1"/>
    <xf numFmtId="42" fontId="11" fillId="0" borderId="0" xfId="0" applyNumberFormat="1" applyFont="1"/>
    <xf numFmtId="0" fontId="9" fillId="0" borderId="43" xfId="5" applyFont="1" applyBorder="1">
      <alignment horizontal="right" vertical="center" indent="1"/>
    </xf>
    <xf numFmtId="42" fontId="10" fillId="0" borderId="42" xfId="0" applyNumberFormat="1" applyFont="1" applyBorder="1"/>
    <xf numFmtId="43" fontId="0" fillId="0" borderId="0" xfId="10" applyFont="1" applyFill="1"/>
    <xf numFmtId="43" fontId="4" fillId="0" borderId="0" xfId="10" applyFont="1" applyFill="1"/>
    <xf numFmtId="42" fontId="10" fillId="3" borderId="4" xfId="8" applyFont="1" applyFill="1"/>
    <xf numFmtId="10" fontId="10" fillId="0" borderId="0" xfId="0" applyNumberFormat="1" applyFont="1" applyAlignment="1">
      <alignment vertical="center"/>
    </xf>
    <xf numFmtId="44" fontId="10" fillId="0" borderId="0" xfId="0" applyNumberFormat="1" applyFont="1"/>
    <xf numFmtId="41" fontId="10" fillId="0" borderId="25" xfId="0" applyNumberFormat="1" applyFont="1" applyBorder="1" applyAlignment="1">
      <alignment vertical="center"/>
    </xf>
    <xf numFmtId="42" fontId="10" fillId="0" borderId="57" xfId="0" applyNumberFormat="1" applyFont="1" applyBorder="1"/>
    <xf numFmtId="1" fontId="10" fillId="0" borderId="0" xfId="0" applyNumberFormat="1" applyFont="1"/>
    <xf numFmtId="170" fontId="0" fillId="0" borderId="0" xfId="0" applyNumberFormat="1"/>
    <xf numFmtId="42" fontId="10" fillId="0" borderId="15" xfId="0" applyNumberFormat="1" applyFont="1" applyBorder="1"/>
    <xf numFmtId="42" fontId="10" fillId="6" borderId="9" xfId="0" applyNumberFormat="1" applyFont="1" applyFill="1" applyBorder="1"/>
    <xf numFmtId="42" fontId="10" fillId="0" borderId="20" xfId="0" applyNumberFormat="1" applyFont="1" applyBorder="1" applyAlignment="1">
      <alignment vertical="center"/>
    </xf>
    <xf numFmtId="42" fontId="10" fillId="0" borderId="22" xfId="0" applyNumberFormat="1" applyFont="1" applyBorder="1" applyAlignment="1">
      <alignment vertical="center"/>
    </xf>
    <xf numFmtId="42" fontId="10" fillId="0" borderId="23" xfId="0" applyNumberFormat="1" applyFont="1" applyBorder="1" applyAlignment="1">
      <alignment vertical="center"/>
    </xf>
    <xf numFmtId="41" fontId="10" fillId="0" borderId="24" xfId="0" applyNumberFormat="1" applyFont="1" applyBorder="1" applyAlignment="1">
      <alignment vertical="center"/>
    </xf>
    <xf numFmtId="41" fontId="10" fillId="0" borderId="22" xfId="0" applyNumberFormat="1" applyFont="1" applyBorder="1" applyAlignment="1">
      <alignment vertical="center"/>
    </xf>
    <xf numFmtId="42" fontId="10" fillId="0" borderId="5" xfId="0" applyNumberFormat="1" applyFont="1" applyBorder="1"/>
    <xf numFmtId="41" fontId="10" fillId="0" borderId="26" xfId="0" applyNumberFormat="1" applyFont="1" applyBorder="1" applyAlignment="1">
      <alignment vertical="center"/>
    </xf>
    <xf numFmtId="41" fontId="10" fillId="0" borderId="54" xfId="0" applyNumberFormat="1" applyFont="1" applyBorder="1" applyAlignment="1">
      <alignment vertical="center"/>
    </xf>
    <xf numFmtId="42" fontId="10" fillId="0" borderId="53" xfId="0" applyNumberFormat="1" applyFont="1" applyBorder="1" applyAlignment="1">
      <alignment vertical="center"/>
    </xf>
    <xf numFmtId="165" fontId="10" fillId="0" borderId="12" xfId="0" applyNumberFormat="1" applyFont="1" applyBorder="1" applyAlignment="1">
      <alignment vertical="center"/>
    </xf>
    <xf numFmtId="3" fontId="10" fillId="0" borderId="0" xfId="0" applyNumberFormat="1" applyFont="1" applyAlignment="1">
      <alignment vertical="center"/>
    </xf>
    <xf numFmtId="3" fontId="10" fillId="0" borderId="12" xfId="0" applyNumberFormat="1" applyFont="1" applyBorder="1" applyAlignment="1">
      <alignment vertical="center"/>
    </xf>
    <xf numFmtId="42" fontId="10" fillId="0" borderId="12" xfId="0" applyNumberFormat="1" applyFont="1" applyBorder="1" applyAlignment="1">
      <alignment vertical="center"/>
    </xf>
    <xf numFmtId="41" fontId="10" fillId="0" borderId="3" xfId="0" applyNumberFormat="1" applyFont="1" applyBorder="1" applyAlignment="1">
      <alignment vertical="center"/>
    </xf>
    <xf numFmtId="41" fontId="10" fillId="0" borderId="17" xfId="0" applyNumberFormat="1" applyFont="1" applyBorder="1" applyAlignment="1">
      <alignment vertical="center"/>
    </xf>
    <xf numFmtId="42" fontId="10" fillId="0" borderId="4" xfId="0" applyNumberFormat="1" applyFont="1" applyBorder="1" applyAlignment="1">
      <alignment vertical="center"/>
    </xf>
    <xf numFmtId="42" fontId="10" fillId="0" borderId="4" xfId="10" applyNumberFormat="1" applyFont="1" applyFill="1" applyBorder="1" applyAlignment="1">
      <alignment vertical="center"/>
    </xf>
    <xf numFmtId="42" fontId="10" fillId="0" borderId="18" xfId="0" applyNumberFormat="1" applyFont="1" applyBorder="1" applyAlignment="1">
      <alignment vertical="center"/>
    </xf>
    <xf numFmtId="167" fontId="10" fillId="0" borderId="0" xfId="0" applyNumberFormat="1" applyFont="1"/>
    <xf numFmtId="0" fontId="10" fillId="0" borderId="0" xfId="4" applyFont="1" applyAlignment="1">
      <alignment vertical="center"/>
    </xf>
    <xf numFmtId="165" fontId="10" fillId="0" borderId="0" xfId="4" applyNumberFormat="1" applyFont="1" applyAlignment="1">
      <alignment vertical="center"/>
    </xf>
    <xf numFmtId="42" fontId="10" fillId="0" borderId="0" xfId="4" applyNumberFormat="1" applyFont="1" applyAlignment="1">
      <alignment vertical="center"/>
    </xf>
    <xf numFmtId="44" fontId="10" fillId="0" borderId="0" xfId="4" applyNumberFormat="1" applyFont="1" applyAlignment="1">
      <alignment vertical="center"/>
    </xf>
    <xf numFmtId="169" fontId="10" fillId="0" borderId="0" xfId="4" applyNumberFormat="1" applyFont="1" applyAlignment="1">
      <alignment vertical="center"/>
    </xf>
    <xf numFmtId="166" fontId="10" fillId="0" borderId="0" xfId="4" applyNumberFormat="1" applyFont="1" applyAlignment="1">
      <alignment vertical="center"/>
    </xf>
    <xf numFmtId="167" fontId="10" fillId="0" borderId="0" xfId="4" applyNumberFormat="1" applyFont="1" applyAlignment="1">
      <alignment vertical="center"/>
    </xf>
    <xf numFmtId="172" fontId="10" fillId="0" borderId="0" xfId="2" applyNumberFormat="1" applyFont="1" applyAlignment="1">
      <alignment vertical="center"/>
    </xf>
    <xf numFmtId="171" fontId="10" fillId="0" borderId="0" xfId="4" applyNumberFormat="1" applyFont="1" applyAlignment="1">
      <alignment vertical="center"/>
    </xf>
    <xf numFmtId="0" fontId="10" fillId="0" borderId="14" xfId="4" applyFont="1" applyBorder="1" applyAlignment="1">
      <alignment vertical="center"/>
    </xf>
    <xf numFmtId="0" fontId="10" fillId="0" borderId="15" xfId="4" applyFont="1" applyBorder="1" applyAlignment="1">
      <alignment vertical="center"/>
    </xf>
    <xf numFmtId="0" fontId="10" fillId="0" borderId="13" xfId="4" applyFont="1" applyBorder="1" applyAlignment="1">
      <alignment vertical="center"/>
    </xf>
    <xf numFmtId="165" fontId="10" fillId="0" borderId="12" xfId="4" applyNumberFormat="1" applyFont="1" applyBorder="1" applyAlignment="1">
      <alignment vertical="center"/>
    </xf>
    <xf numFmtId="0" fontId="9" fillId="0" borderId="0" xfId="4" applyFont="1" applyAlignment="1">
      <alignment horizontal="center" vertical="center"/>
    </xf>
    <xf numFmtId="42" fontId="10" fillId="0" borderId="18" xfId="4" applyNumberFormat="1" applyFont="1" applyBorder="1" applyAlignment="1">
      <alignment vertical="center"/>
    </xf>
    <xf numFmtId="42" fontId="10" fillId="0" borderId="4" xfId="4" applyNumberFormat="1" applyFont="1" applyBorder="1" applyAlignment="1">
      <alignment vertical="center"/>
    </xf>
    <xf numFmtId="41" fontId="10" fillId="0" borderId="0" xfId="4" applyNumberFormat="1" applyFont="1" applyAlignment="1">
      <alignment vertical="center"/>
    </xf>
    <xf numFmtId="10" fontId="10" fillId="0" borderId="0" xfId="4" applyNumberFormat="1" applyFont="1" applyAlignment="1">
      <alignment vertical="center"/>
    </xf>
    <xf numFmtId="42" fontId="10" fillId="0" borderId="23" xfId="4" applyNumberFormat="1" applyFont="1" applyBorder="1" applyAlignment="1">
      <alignment vertical="center"/>
    </xf>
    <xf numFmtId="42" fontId="10" fillId="0" borderId="22" xfId="4" applyNumberFormat="1" applyFont="1" applyBorder="1" applyAlignment="1">
      <alignment vertical="center"/>
    </xf>
    <xf numFmtId="0" fontId="10" fillId="6" borderId="10" xfId="4" applyFont="1" applyFill="1" applyBorder="1" applyAlignment="1">
      <alignment vertical="center"/>
    </xf>
    <xf numFmtId="0" fontId="10" fillId="6" borderId="9" xfId="4" applyFont="1" applyFill="1" applyBorder="1" applyAlignment="1">
      <alignment vertical="center"/>
    </xf>
    <xf numFmtId="0" fontId="10" fillId="0" borderId="0" xfId="4" applyFont="1" applyAlignment="1">
      <alignment horizontal="center" vertical="center"/>
    </xf>
    <xf numFmtId="0" fontId="9" fillId="0" borderId="0" xfId="4" applyFont="1" applyAlignment="1">
      <alignment vertical="center"/>
    </xf>
    <xf numFmtId="41" fontId="10" fillId="0" borderId="2" xfId="0" applyNumberFormat="1" applyFont="1" applyBorder="1"/>
    <xf numFmtId="41" fontId="10" fillId="0" borderId="37" xfId="0" applyNumberFormat="1" applyFont="1" applyBorder="1"/>
    <xf numFmtId="0" fontId="9" fillId="6" borderId="35" xfId="7" applyFont="1" applyFill="1" applyBorder="1" applyAlignment="1">
      <alignment horizontal="right" vertical="center"/>
    </xf>
    <xf numFmtId="168" fontId="10" fillId="0" borderId="0" xfId="0" applyNumberFormat="1" applyFont="1"/>
    <xf numFmtId="42" fontId="10" fillId="6" borderId="59" xfId="11" applyNumberFormat="1" applyFont="1" applyFill="1" applyBorder="1"/>
    <xf numFmtId="41" fontId="10" fillId="0" borderId="22" xfId="4" applyNumberFormat="1" applyFont="1" applyBorder="1" applyAlignment="1">
      <alignment vertical="center"/>
    </xf>
    <xf numFmtId="41" fontId="10" fillId="0" borderId="22" xfId="2" applyNumberFormat="1" applyFont="1" applyBorder="1" applyAlignment="1">
      <alignment vertical="center"/>
    </xf>
    <xf numFmtId="41" fontId="10" fillId="0" borderId="23" xfId="4" applyNumberFormat="1" applyFont="1" applyBorder="1" applyAlignment="1">
      <alignment vertical="center"/>
    </xf>
    <xf numFmtId="41" fontId="10" fillId="0" borderId="22" xfId="10" applyNumberFormat="1" applyFont="1" applyBorder="1" applyAlignment="1">
      <alignment vertical="center"/>
    </xf>
    <xf numFmtId="41" fontId="10" fillId="0" borderId="24" xfId="2" applyNumberFormat="1" applyFont="1" applyBorder="1" applyAlignment="1">
      <alignment vertical="center"/>
    </xf>
    <xf numFmtId="41" fontId="10" fillId="0" borderId="24" xfId="4" applyNumberFormat="1" applyFont="1" applyBorder="1" applyAlignment="1">
      <alignment vertical="center"/>
    </xf>
    <xf numFmtId="41" fontId="10" fillId="0" borderId="0" xfId="2" applyNumberFormat="1" applyFont="1" applyBorder="1" applyAlignment="1">
      <alignment vertical="center"/>
    </xf>
    <xf numFmtId="41" fontId="10" fillId="0" borderId="0" xfId="2" applyNumberFormat="1" applyFont="1" applyAlignment="1">
      <alignment vertical="center"/>
    </xf>
    <xf numFmtId="41" fontId="10" fillId="0" borderId="24" xfId="0" applyNumberFormat="1" applyFont="1" applyBorder="1"/>
    <xf numFmtId="41" fontId="10" fillId="0" borderId="22" xfId="0" applyNumberFormat="1" applyFont="1" applyBorder="1"/>
    <xf numFmtId="41" fontId="10" fillId="0" borderId="24" xfId="10" applyNumberFormat="1" applyFont="1" applyBorder="1"/>
    <xf numFmtId="41" fontId="10" fillId="0" borderId="0" xfId="10" applyNumberFormat="1" applyFont="1" applyFill="1"/>
    <xf numFmtId="42" fontId="10" fillId="6" borderId="1" xfId="11" applyNumberFormat="1" applyFont="1" applyFill="1" applyBorder="1"/>
    <xf numFmtId="42" fontId="10" fillId="0" borderId="58" xfId="0" applyNumberFormat="1" applyFont="1" applyBorder="1"/>
    <xf numFmtId="42" fontId="10" fillId="0" borderId="61" xfId="0" applyNumberFormat="1" applyFont="1" applyBorder="1"/>
    <xf numFmtId="42" fontId="10" fillId="0" borderId="43" xfId="0" applyNumberFormat="1" applyFont="1" applyBorder="1"/>
    <xf numFmtId="42" fontId="10" fillId="6" borderId="60" xfId="11" applyNumberFormat="1" applyFont="1" applyFill="1" applyBorder="1"/>
    <xf numFmtId="0" fontId="13" fillId="0" borderId="35" xfId="5" applyFont="1" applyBorder="1">
      <alignment horizontal="right" vertical="center" indent="1"/>
    </xf>
    <xf numFmtId="2" fontId="10" fillId="0" borderId="22" xfId="4" applyNumberFormat="1" applyFont="1" applyBorder="1" applyAlignment="1">
      <alignment horizontal="center" vertical="center"/>
    </xf>
    <xf numFmtId="2" fontId="10" fillId="0" borderId="23" xfId="4" applyNumberFormat="1" applyFont="1" applyBorder="1" applyAlignment="1">
      <alignment horizontal="center" vertical="center"/>
    </xf>
    <xf numFmtId="2" fontId="10" fillId="0" borderId="22" xfId="2" applyNumberFormat="1" applyFont="1" applyBorder="1" applyAlignment="1">
      <alignment horizontal="center" vertical="center"/>
    </xf>
    <xf numFmtId="2" fontId="10" fillId="0" borderId="4" xfId="11" applyNumberFormat="1" applyFont="1" applyBorder="1" applyAlignment="1">
      <alignment horizontal="center" vertical="center"/>
    </xf>
    <xf numFmtId="2" fontId="10" fillId="0" borderId="18" xfId="11" applyNumberFormat="1" applyFont="1" applyBorder="1" applyAlignment="1">
      <alignment horizontal="center" vertical="center"/>
    </xf>
    <xf numFmtId="41" fontId="10" fillId="0" borderId="25" xfId="0" applyNumberFormat="1" applyFont="1" applyBorder="1" applyAlignment="1">
      <alignment horizontal="right" vertical="center"/>
    </xf>
    <xf numFmtId="0" fontId="10" fillId="0" borderId="0" xfId="0" applyFont="1" applyAlignment="1">
      <alignment horizontal="right" vertical="center"/>
    </xf>
    <xf numFmtId="0" fontId="9" fillId="0" borderId="0" xfId="0" applyFont="1" applyAlignment="1">
      <alignment horizontal="left" vertical="center"/>
    </xf>
    <xf numFmtId="42" fontId="10" fillId="0" borderId="19" xfId="0" applyNumberFormat="1" applyFont="1" applyBorder="1" applyAlignment="1">
      <alignment vertical="center"/>
    </xf>
    <xf numFmtId="171" fontId="10" fillId="0" borderId="0" xfId="0" applyNumberFormat="1" applyFont="1" applyAlignment="1">
      <alignment vertical="center"/>
    </xf>
    <xf numFmtId="172" fontId="10" fillId="0" borderId="0" xfId="10" applyNumberFormat="1" applyFont="1" applyFill="1" applyBorder="1" applyAlignment="1">
      <alignment vertical="center"/>
    </xf>
    <xf numFmtId="167" fontId="10" fillId="0" borderId="0" xfId="0" applyNumberFormat="1" applyFont="1" applyAlignment="1">
      <alignment vertical="center"/>
    </xf>
    <xf numFmtId="169" fontId="10" fillId="0" borderId="0" xfId="0" applyNumberFormat="1" applyFont="1" applyAlignment="1">
      <alignment vertical="center"/>
    </xf>
    <xf numFmtId="42" fontId="10" fillId="0" borderId="15" xfId="0" applyNumberFormat="1" applyFont="1" applyBorder="1" applyAlignment="1">
      <alignment vertical="center"/>
    </xf>
    <xf numFmtId="165" fontId="10" fillId="0" borderId="15" xfId="0" applyNumberFormat="1" applyFont="1" applyBorder="1" applyAlignment="1">
      <alignment vertical="center"/>
    </xf>
    <xf numFmtId="42" fontId="10" fillId="0" borderId="14" xfId="0" applyNumberFormat="1" applyFont="1" applyBorder="1" applyAlignment="1">
      <alignment vertical="center"/>
    </xf>
    <xf numFmtId="42" fontId="10" fillId="0" borderId="22" xfId="10" applyNumberFormat="1" applyFont="1" applyBorder="1" applyAlignment="1">
      <alignment horizontal="center" vertical="center"/>
    </xf>
    <xf numFmtId="42" fontId="10" fillId="0" borderId="23" xfId="10" applyNumberFormat="1" applyFont="1" applyBorder="1" applyAlignment="1">
      <alignment horizontal="center" vertical="center"/>
    </xf>
    <xf numFmtId="42" fontId="10" fillId="0" borderId="4" xfId="10" applyNumberFormat="1" applyFont="1" applyBorder="1" applyAlignment="1">
      <alignment horizontal="center" vertical="center"/>
    </xf>
    <xf numFmtId="42" fontId="10" fillId="0" borderId="18" xfId="10" applyNumberFormat="1" applyFont="1" applyBorder="1" applyAlignment="1">
      <alignment horizontal="center" vertical="center"/>
    </xf>
    <xf numFmtId="41" fontId="10" fillId="0" borderId="26" xfId="0" applyNumberFormat="1" applyFont="1" applyBorder="1"/>
    <xf numFmtId="42" fontId="10" fillId="6" borderId="33" xfId="0" applyNumberFormat="1" applyFont="1" applyFill="1" applyBorder="1"/>
    <xf numFmtId="42" fontId="10" fillId="6" borderId="34" xfId="0" applyNumberFormat="1" applyFont="1" applyFill="1" applyBorder="1"/>
    <xf numFmtId="42" fontId="10" fillId="0" borderId="3" xfId="0" applyNumberFormat="1" applyFont="1" applyBorder="1"/>
    <xf numFmtId="42" fontId="10" fillId="6" borderId="0" xfId="0" applyNumberFormat="1" applyFont="1" applyFill="1"/>
    <xf numFmtId="42" fontId="10" fillId="6" borderId="36" xfId="0" applyNumberFormat="1" applyFont="1" applyFill="1" applyBorder="1"/>
    <xf numFmtId="2" fontId="10" fillId="0" borderId="62" xfId="4" applyNumberFormat="1" applyFont="1" applyBorder="1" applyAlignment="1">
      <alignment horizontal="center" vertical="center"/>
    </xf>
    <xf numFmtId="2" fontId="10" fillId="0" borderId="62" xfId="2" applyNumberFormat="1" applyFont="1" applyBorder="1" applyAlignment="1">
      <alignment horizontal="center" vertical="center"/>
    </xf>
    <xf numFmtId="37" fontId="10" fillId="0" borderId="25" xfId="0" applyNumberFormat="1" applyFont="1" applyBorder="1" applyAlignment="1">
      <alignment vertical="center"/>
    </xf>
    <xf numFmtId="0" fontId="14" fillId="0" borderId="0" xfId="0" applyFont="1" applyAlignment="1">
      <alignment horizontal="left" vertical="center" wrapText="1"/>
    </xf>
    <xf numFmtId="0" fontId="9" fillId="0" borderId="0" xfId="0" applyFont="1" applyAlignment="1">
      <alignment wrapText="1"/>
    </xf>
    <xf numFmtId="0" fontId="0" fillId="0" borderId="0" xfId="0" applyAlignment="1">
      <alignment wrapText="1"/>
    </xf>
  </cellXfs>
  <cellStyles count="16">
    <cellStyle name="Column Heading" xfId="6" xr:uid="{00000000-0005-0000-0000-000000000000}"/>
    <cellStyle name="Comma" xfId="10" builtinId="3"/>
    <cellStyle name="Comma 2" xfId="2" xr:uid="{00000000-0005-0000-0000-000001000000}"/>
    <cellStyle name="Comma 3" xfId="3" xr:uid="{00000000-0005-0000-0000-000002000000}"/>
    <cellStyle name="Currency" xfId="11" builtinId="4"/>
    <cellStyle name="Currency 2" xfId="12" xr:uid="{D149B9BC-C85F-4B03-AF0F-4F8EE39B0B7E}"/>
    <cellStyle name="Heading with Border" xfId="9" xr:uid="{00000000-0005-0000-0000-000003000000}"/>
    <cellStyle name="Normal" xfId="0" builtinId="0"/>
    <cellStyle name="Normal 2" xfId="1" xr:uid="{00000000-0005-0000-0000-000005000000}"/>
    <cellStyle name="Normal 2 2" xfId="4" xr:uid="{00000000-0005-0000-0000-000006000000}"/>
    <cellStyle name="Normal 2 3" xfId="13" xr:uid="{F8071072-420F-472D-960E-EE5C88654F74}"/>
    <cellStyle name="Percent 2" xfId="14" xr:uid="{C76E284B-AC36-434A-99B6-AF36F4D35B2D}"/>
    <cellStyle name="Row Label" xfId="5" xr:uid="{00000000-0005-0000-0000-000007000000}"/>
    <cellStyle name="Subheading" xfId="7" xr:uid="{00000000-0005-0000-0000-000008000000}"/>
    <cellStyle name="Total at Bottom" xfId="8" xr:uid="{00000000-0005-0000-0000-000009000000}"/>
    <cellStyle name="Total at Bottom 2" xfId="15" xr:uid="{8DD331FA-B3CC-4DA6-BA85-6FBFE2D67441}"/>
  </cellStyles>
  <dxfs count="0"/>
  <tableStyles count="0" defaultTableStyle="TableStyleMedium9" defaultPivotStyle="PivotStyleLight16"/>
  <colors>
    <mruColors>
      <color rgb="FFCC0099"/>
      <color rgb="FFB5CD85"/>
      <color rgb="FF3366FF"/>
      <color rgb="FFCC99FF"/>
      <color rgb="FF6666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t>H-GAC</a:t>
            </a:r>
          </a:p>
          <a:p>
            <a:pPr>
              <a:defRPr/>
            </a:pPr>
            <a:r>
              <a:rPr lang="en-US" sz="1800" b="1"/>
              <a:t>2025 REVENUE</a:t>
            </a:r>
            <a:r>
              <a:rPr lang="en-US" sz="1800" b="1" baseline="0"/>
              <a:t> ANALYSIS ($594,827,310</a:t>
            </a:r>
            <a:r>
              <a:rPr lang="en-US" sz="1800" baseline="0"/>
              <a:t>)</a:t>
            </a:r>
            <a:endParaRPr lang="en-US" sz="1800"/>
          </a:p>
        </c:rich>
      </c:tx>
      <c:layout>
        <c:manualLayout>
          <c:xMode val="edge"/>
          <c:yMode val="edge"/>
          <c:x val="0.28633311464763472"/>
          <c:y val="5.4509525861550952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50"/>
      <c:rotY val="0"/>
      <c:depthPercent val="8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5365736751048857E-2"/>
          <c:y val="0.14972026801846752"/>
          <c:w val="0.9215461932149267"/>
          <c:h val="0.83854353031330975"/>
        </c:manualLayout>
      </c:layout>
      <c:pie3DChart>
        <c:varyColors val="1"/>
        <c:ser>
          <c:idx val="0"/>
          <c:order val="0"/>
          <c:spPr>
            <a:ln w="12700">
              <a:solidFill>
                <a:schemeClr val="tx1"/>
              </a:solidFill>
            </a:ln>
          </c:spPr>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9CB9-482F-9125-82D3B3220B8B}"/>
              </c:ext>
            </c:extLst>
          </c:dPt>
          <c:dPt>
            <c:idx val="1"/>
            <c:bubble3D val="0"/>
            <c:spPr>
              <a:solidFill>
                <a:schemeClr val="accent2"/>
              </a:solidFill>
              <a:ln w="12700">
                <a:solidFill>
                  <a:schemeClr val="tx1"/>
                </a:solidFill>
              </a:ln>
              <a:effectLst/>
              <a:sp3d contourW="12700">
                <a:contourClr>
                  <a:schemeClr val="tx1"/>
                </a:contourClr>
              </a:sp3d>
            </c:spPr>
            <c:extLst>
              <c:ext xmlns:c16="http://schemas.microsoft.com/office/drawing/2014/chart" uri="{C3380CC4-5D6E-409C-BE32-E72D297353CC}">
                <c16:uniqueId val="{00000003-9CB9-482F-9125-82D3B3220B8B}"/>
              </c:ext>
            </c:extLst>
          </c:dPt>
          <c:dLbls>
            <c:dLbl>
              <c:idx val="0"/>
              <c:layout>
                <c:manualLayout>
                  <c:x val="0.16357927325191113"/>
                  <c:y val="3.1766741321250076E-2"/>
                </c:manualLayout>
              </c:layout>
              <c:tx>
                <c:rich>
                  <a:bodyPr rot="0" spcFirstLastPara="1" vertOverflow="clip" horzOverflow="clip" vert="horz" wrap="square" lIns="38100" tIns="19050" rIns="38100" bIns="19050" anchor="ctr" anchorCtr="1">
                    <a:spAutoFit/>
                  </a:bodyPr>
                  <a:lstStyle/>
                  <a:p>
                    <a:pPr>
                      <a:defRPr sz="12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fld id="{A22497F8-D912-47BD-9B53-31C4A0A37746}" type="CATEGORYNAME">
                      <a:rPr lang="en-US" sz="1200">
                        <a:latin typeface="Arial" panose="020B0604020202020204" pitchFamily="34" charset="0"/>
                        <a:cs typeface="Arial" panose="020B0604020202020204" pitchFamily="34" charset="0"/>
                      </a:rPr>
                      <a:pPr>
                        <a:defRPr sz="1200">
                          <a:latin typeface="Arial" panose="020B0604020202020204" pitchFamily="34" charset="0"/>
                          <a:cs typeface="Arial" panose="020B0604020202020204" pitchFamily="34" charset="0"/>
                        </a:defRPr>
                      </a:pPr>
                      <a:t>[CATEGORY NAME]</a:t>
                    </a:fld>
                    <a:endParaRPr lang="en-US"/>
                  </a:p>
                </c:rich>
              </c:tx>
              <c:spPr>
                <a:solidFill>
                  <a:sysClr val="window" lastClr="FFFFFF">
                    <a:alpha val="70000"/>
                  </a:sysClr>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12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gd name="adj1" fmla="val -138253"/>
                        <a:gd name="adj2" fmla="val 285632"/>
                      </a:avLst>
                    </a:prstGeom>
                    <a:noFill/>
                    <a:ln>
                      <a:noFill/>
                    </a:ln>
                  </c15:spPr>
                  <c15:dlblFieldTable/>
                  <c15:showDataLabelsRange val="0"/>
                </c:ext>
                <c:ext xmlns:c16="http://schemas.microsoft.com/office/drawing/2014/chart" uri="{C3380CC4-5D6E-409C-BE32-E72D297353CC}">
                  <c16:uniqueId val="{00000001-9CB9-482F-9125-82D3B3220B8B}"/>
                </c:ext>
              </c:extLst>
            </c:dLbl>
            <c:dLbl>
              <c:idx val="1"/>
              <c:layout>
                <c:manualLayout>
                  <c:x val="0.42392965083909945"/>
                  <c:y val="-4.3461993721373181E-2"/>
                </c:manualLayout>
              </c:layout>
              <c:spPr>
                <a:solidFill>
                  <a:sysClr val="window" lastClr="FFFFFF">
                    <a:alpha val="70000"/>
                  </a:sysClr>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12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gd name="adj1" fmla="val -335172"/>
                        <a:gd name="adj2" fmla="val -567072"/>
                      </a:avLst>
                    </a:prstGeom>
                    <a:noFill/>
                    <a:ln>
                      <a:noFill/>
                    </a:ln>
                  </c15:spPr>
                </c:ext>
                <c:ext xmlns:c16="http://schemas.microsoft.com/office/drawing/2014/chart" uri="{C3380CC4-5D6E-409C-BE32-E72D297353CC}">
                  <c16:uniqueId val="{00000003-9CB9-482F-9125-82D3B3220B8B}"/>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200" b="0" i="0" u="none" strike="noStrike" kern="1200" baseline="0">
                    <a:solidFill>
                      <a:schemeClr val="dk1">
                        <a:lumMod val="65000"/>
                        <a:lumOff val="35000"/>
                      </a:schemeClr>
                    </a:solidFill>
                    <a:latin typeface="+mn-lt"/>
                    <a:ea typeface="+mn-ea"/>
                    <a:cs typeface="+mn-cs"/>
                  </a:defRPr>
                </a:pPr>
                <a:endParaRPr lang="en-US"/>
              </a:p>
            </c:txPr>
            <c:dLblPos val="in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GRAPH!$C$41:$C$42</c:f>
              <c:strCache>
                <c:ptCount val="2"/>
                <c:pt idx="0">
                  <c:v>UNRESTRICTED - $15,225,071</c:v>
                </c:pt>
                <c:pt idx="1">
                  <c:v>RESTRICTED - $579,602,227</c:v>
                </c:pt>
              </c:strCache>
            </c:strRef>
          </c:cat>
          <c:val>
            <c:numRef>
              <c:f>GRAPH!$D$41:$D$42</c:f>
              <c:numCache>
                <c:formatCode>0.0%</c:formatCode>
                <c:ptCount val="2"/>
                <c:pt idx="0">
                  <c:v>2.559578335788466E-2</c:v>
                </c:pt>
                <c:pt idx="1">
                  <c:v>0.97440421832327562</c:v>
                </c:pt>
              </c:numCache>
            </c:numRef>
          </c:val>
          <c:extLst>
            <c:ext xmlns:c16="http://schemas.microsoft.com/office/drawing/2014/chart" uri="{C3380CC4-5D6E-409C-BE32-E72D297353CC}">
              <c16:uniqueId val="{00000004-9CB9-482F-9125-82D3B3220B8B}"/>
            </c:ext>
          </c:extLst>
        </c:ser>
        <c:dLbls>
          <c:showLegendKey val="0"/>
          <c:showVal val="0"/>
          <c:showCatName val="0"/>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800" b="1" i="0" baseline="0">
                <a:effectLst/>
                <a:latin typeface="+mn-lt"/>
              </a:rPr>
              <a:t>H-GAC</a:t>
            </a:r>
            <a:br>
              <a:rPr lang="en-US" sz="1800" b="1" i="0" baseline="0">
                <a:effectLst/>
                <a:latin typeface="+mn-lt"/>
              </a:rPr>
            </a:br>
            <a:r>
              <a:rPr lang="en-US" sz="1800" b="1" i="0" baseline="0">
                <a:effectLst/>
                <a:latin typeface="+mn-lt"/>
              </a:rPr>
              <a:t>2025 UNRESTRICTED REVENUE ($15,225,072)</a:t>
            </a:r>
            <a:endParaRPr lang="en-US" b="1">
              <a:effectLst/>
              <a:latin typeface="+mn-lt"/>
            </a:endParaRPr>
          </a:p>
        </c:rich>
      </c:tx>
      <c:layout>
        <c:manualLayout>
          <c:xMode val="edge"/>
          <c:yMode val="edge"/>
          <c:x val="0.28203782629284935"/>
          <c:y val="1.0542568787800887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9166676175242279E-2"/>
          <c:y val="0.19077142247903309"/>
          <c:w val="0.84710952068696577"/>
          <c:h val="0.76452368259008419"/>
        </c:manualLayout>
      </c:layout>
      <c:pie3DChart>
        <c:varyColors val="1"/>
        <c:ser>
          <c:idx val="0"/>
          <c:order val="0"/>
          <c:explosion val="5"/>
          <c:dPt>
            <c:idx val="0"/>
            <c:bubble3D val="0"/>
            <c:explosion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BFFE-4A73-83F5-2F97F93ED777}"/>
              </c:ext>
            </c:extLst>
          </c:dPt>
          <c:dPt>
            <c:idx val="1"/>
            <c:bubble3D val="0"/>
            <c:explosion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BFFE-4A73-83F5-2F97F93ED777}"/>
              </c:ext>
            </c:extLst>
          </c:dPt>
          <c:dPt>
            <c:idx val="2"/>
            <c:bubble3D val="0"/>
            <c:explosion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BFFE-4A73-83F5-2F97F93ED777}"/>
              </c:ext>
            </c:extLst>
          </c:dPt>
          <c:dPt>
            <c:idx val="3"/>
            <c:bubble3D val="0"/>
            <c:explosion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BFFE-4A73-83F5-2F97F93ED777}"/>
              </c:ext>
            </c:extLst>
          </c:dPt>
          <c:dPt>
            <c:idx val="4"/>
            <c:bubble3D val="0"/>
            <c:explosion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BFFE-4A73-83F5-2F97F93ED777}"/>
              </c:ext>
            </c:extLst>
          </c:dPt>
          <c:dPt>
            <c:idx val="5"/>
            <c:bubble3D val="0"/>
            <c:explosion val="1"/>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BFFE-4A73-83F5-2F97F93ED777}"/>
              </c:ext>
            </c:extLst>
          </c:dPt>
          <c:dPt>
            <c:idx val="6"/>
            <c:bubble3D val="0"/>
            <c:explosion val="1"/>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BFFE-4A73-83F5-2F97F93ED777}"/>
              </c:ext>
            </c:extLst>
          </c:dPt>
          <c:dPt>
            <c:idx val="7"/>
            <c:bubble3D val="0"/>
            <c:explosion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BFFE-4A73-83F5-2F97F93ED777}"/>
              </c:ext>
            </c:extLst>
          </c:dPt>
          <c:dLbls>
            <c:dLbl>
              <c:idx val="0"/>
              <c:layout>
                <c:manualLayout>
                  <c:x val="-5.5192020777789431E-2"/>
                  <c:y val="-3.1184091932038714E-2"/>
                </c:manualLayout>
              </c:layout>
              <c:numFmt formatCode="0.00%" sourceLinked="0"/>
              <c:spPr>
                <a:solidFill>
                  <a:sysClr val="window" lastClr="FFFFFF">
                    <a:alpha val="70000"/>
                  </a:sysClr>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12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59540"/>
                        <a:gd name="adj2" fmla="val 147198"/>
                      </a:avLst>
                    </a:prstGeom>
                    <a:noFill/>
                    <a:ln>
                      <a:noFill/>
                    </a:ln>
                  </c15:spPr>
                </c:ext>
                <c:ext xmlns:c16="http://schemas.microsoft.com/office/drawing/2014/chart" uri="{C3380CC4-5D6E-409C-BE32-E72D297353CC}">
                  <c16:uniqueId val="{00000001-BFFE-4A73-83F5-2F97F93ED777}"/>
                </c:ext>
              </c:extLst>
            </c:dLbl>
            <c:dLbl>
              <c:idx val="1"/>
              <c:layout>
                <c:manualLayout>
                  <c:x val="1.1567638707765109E-2"/>
                  <c:y val="-4.287005889424291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FFE-4A73-83F5-2F97F93ED777}"/>
                </c:ext>
              </c:extLst>
            </c:dLbl>
            <c:dLbl>
              <c:idx val="2"/>
              <c:layout>
                <c:manualLayout>
                  <c:x val="6.5929755217271208E-2"/>
                  <c:y val="-7.8709246385787468E-3"/>
                </c:manualLayout>
              </c:layout>
              <c:numFmt formatCode="0.00%" sourceLinked="0"/>
              <c:spPr>
                <a:xfrm>
                  <a:off x="7233150" y="931078"/>
                  <a:ext cx="1187892" cy="489246"/>
                </a:xfrm>
                <a:solidFill>
                  <a:sysClr val="window" lastClr="FFFFFF">
                    <a:alpha val="70000"/>
                  </a:sysClr>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12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146595"/>
                        <a:gd name="adj2" fmla="val 134876"/>
                      </a:avLst>
                    </a:prstGeom>
                    <a:noFill/>
                    <a:ln>
                      <a:noFill/>
                    </a:ln>
                  </c15:spPr>
                  <c15:layout>
                    <c:manualLayout>
                      <c:w val="0.12289319362238067"/>
                      <c:h val="6.3547915975005101E-2"/>
                    </c:manualLayout>
                  </c15:layout>
                </c:ext>
                <c:ext xmlns:c16="http://schemas.microsoft.com/office/drawing/2014/chart" uri="{C3380CC4-5D6E-409C-BE32-E72D297353CC}">
                  <c16:uniqueId val="{00000005-BFFE-4A73-83F5-2F97F93ED777}"/>
                </c:ext>
              </c:extLst>
            </c:dLbl>
            <c:dLbl>
              <c:idx val="3"/>
              <c:layout>
                <c:manualLayout>
                  <c:x val="3.0148025771989904E-3"/>
                  <c:y val="-6.320248066943307E-2"/>
                </c:manualLayout>
              </c:layout>
              <c:numFmt formatCode="0.00%" sourceLinked="0"/>
              <c:spPr>
                <a:solidFill>
                  <a:sysClr val="window" lastClr="FFFFFF">
                    <a:alpha val="70000"/>
                  </a:sysClr>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12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145755"/>
                        <a:gd name="adj2" fmla="val 129609"/>
                      </a:avLst>
                    </a:prstGeom>
                    <a:noFill/>
                    <a:ln>
                      <a:noFill/>
                    </a:ln>
                  </c15:spPr>
                </c:ext>
                <c:ext xmlns:c16="http://schemas.microsoft.com/office/drawing/2014/chart" uri="{C3380CC4-5D6E-409C-BE32-E72D297353CC}">
                  <c16:uniqueId val="{00000007-BFFE-4A73-83F5-2F97F93ED777}"/>
                </c:ext>
              </c:extLst>
            </c:dLbl>
            <c:dLbl>
              <c:idx val="4"/>
              <c:layout>
                <c:manualLayout>
                  <c:x val="0.36209376636479901"/>
                  <c:y val="-1.2811408623851949E-2"/>
                </c:manualLayout>
              </c:layout>
              <c:numFmt formatCode="0.00%" sourceLinked="0"/>
              <c:spPr>
                <a:xfrm>
                  <a:off x="6384630" y="6191955"/>
                  <a:ext cx="960178" cy="693109"/>
                </a:xfrm>
                <a:solidFill>
                  <a:sysClr val="window" lastClr="FFFFFF">
                    <a:alpha val="70000"/>
                  </a:sysClr>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12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302632"/>
                        <a:gd name="adj2" fmla="val -121420"/>
                      </a:avLst>
                    </a:prstGeom>
                    <a:noFill/>
                    <a:ln>
                      <a:noFill/>
                    </a:ln>
                  </c15:spPr>
                  <c15:layout>
                    <c:manualLayout>
                      <c:w val="0.10047928564837016"/>
                      <c:h val="9.9378842455992142E-2"/>
                    </c:manualLayout>
                  </c15:layout>
                </c:ext>
                <c:ext xmlns:c16="http://schemas.microsoft.com/office/drawing/2014/chart" uri="{C3380CC4-5D6E-409C-BE32-E72D297353CC}">
                  <c16:uniqueId val="{00000009-BFFE-4A73-83F5-2F97F93ED777}"/>
                </c:ext>
              </c:extLst>
            </c:dLbl>
            <c:dLbl>
              <c:idx val="5"/>
              <c:layout>
                <c:manualLayout>
                  <c:x val="-2.3591079307889243E-2"/>
                  <c:y val="1.0423810334241109E-4"/>
                </c:manualLayout>
              </c:layout>
              <c:numFmt formatCode="0.00%" sourceLinked="0"/>
              <c:spPr>
                <a:solidFill>
                  <a:sysClr val="window" lastClr="FFFFFF">
                    <a:alpha val="70000"/>
                  </a:sysClr>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12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72509"/>
                        <a:gd name="adj2" fmla="val -191292"/>
                      </a:avLst>
                    </a:prstGeom>
                    <a:noFill/>
                    <a:ln>
                      <a:noFill/>
                    </a:ln>
                  </c15:spPr>
                </c:ext>
                <c:ext xmlns:c16="http://schemas.microsoft.com/office/drawing/2014/chart" uri="{C3380CC4-5D6E-409C-BE32-E72D297353CC}">
                  <c16:uniqueId val="{0000000B-BFFE-4A73-83F5-2F97F93ED777}"/>
                </c:ext>
              </c:extLst>
            </c:dLbl>
            <c:dLbl>
              <c:idx val="6"/>
              <c:layout>
                <c:manualLayout>
                  <c:x val="-0.14494623933028156"/>
                  <c:y val="-5.1482988077796991E-2"/>
                </c:manualLayout>
              </c:layout>
              <c:numFmt formatCode="0.00%" sourceLinked="0"/>
              <c:spPr>
                <a:solidFill>
                  <a:sysClr val="window" lastClr="FFFFFF">
                    <a:alpha val="70000"/>
                  </a:sysClr>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12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295083"/>
                        <a:gd name="adj2" fmla="val -172549"/>
                      </a:avLst>
                    </a:prstGeom>
                    <a:noFill/>
                    <a:ln>
                      <a:noFill/>
                    </a:ln>
                  </c15:spPr>
                </c:ext>
                <c:ext xmlns:c16="http://schemas.microsoft.com/office/drawing/2014/chart" uri="{C3380CC4-5D6E-409C-BE32-E72D297353CC}">
                  <c16:uniqueId val="{0000000D-BFFE-4A73-83F5-2F97F93ED777}"/>
                </c:ext>
              </c:extLst>
            </c:dLbl>
            <c:dLbl>
              <c:idx val="7"/>
              <c:layout>
                <c:manualLayout>
                  <c:x val="-5.3559584548580411E-2"/>
                  <c:y val="-8.5645552513752651E-2"/>
                </c:manualLayout>
              </c:layout>
              <c:numFmt formatCode="0.00%" sourceLinked="0"/>
              <c:spPr>
                <a:xfrm>
                  <a:off x="0" y="1235035"/>
                  <a:ext cx="966216" cy="504151"/>
                </a:xfrm>
                <a:solidFill>
                  <a:sysClr val="window" lastClr="FFFFFF">
                    <a:alpha val="70000"/>
                  </a:sysClr>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12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219733"/>
                        <a:gd name="adj2" fmla="val 180186"/>
                      </a:avLst>
                    </a:prstGeom>
                    <a:noFill/>
                    <a:ln>
                      <a:noFill/>
                    </a:ln>
                  </c15:spPr>
                  <c15:layout>
                    <c:manualLayout>
                      <c:w val="0.10151584197696513"/>
                      <c:h val="6.6304343560272566E-2"/>
                    </c:manualLayout>
                  </c15:layout>
                </c:ext>
                <c:ext xmlns:c16="http://schemas.microsoft.com/office/drawing/2014/chart" uri="{C3380CC4-5D6E-409C-BE32-E72D297353CC}">
                  <c16:uniqueId val="{0000000F-BFFE-4A73-83F5-2F97F93ED777}"/>
                </c:ext>
              </c:extLst>
            </c:dLbl>
            <c:numFmt formatCode="0.00%" sourceLinked="0"/>
            <c:spPr>
              <a:solidFill>
                <a:sysClr val="window" lastClr="FFFFFF">
                  <a:alpha val="70000"/>
                </a:sysClr>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2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c:ext xmlns:c15="http://schemas.microsoft.com/office/drawing/2012/chart" uri="{02D57815-91ED-43cb-92C2-25804820EDAC}">
                  <c15:fullRef>
                    <c15:sqref>GRAPH!$C$47:$C$55</c15:sqref>
                  </c15:fullRef>
                </c:ext>
              </c:extLst>
              <c:f>GRAPH!$C$47:$C$54</c:f>
              <c:strCache>
                <c:ptCount val="8"/>
                <c:pt idx="0">
                  <c:v>DUES</c:v>
                </c:pt>
                <c:pt idx="1">
                  <c:v>INTEREST</c:v>
                </c:pt>
                <c:pt idx="2">
                  <c:v>INTERLOCAL</c:v>
                </c:pt>
                <c:pt idx="3">
                  <c:v>911 DISTRICT</c:v>
                </c:pt>
                <c:pt idx="4">
                  <c:v>DATA SALES</c:v>
                </c:pt>
                <c:pt idx="5">
                  <c:v>LOCAL ACTIVITIES</c:v>
                </c:pt>
                <c:pt idx="6">
                  <c:v>LDC</c:v>
                </c:pt>
                <c:pt idx="7">
                  <c:v>EDC</c:v>
                </c:pt>
              </c:strCache>
            </c:strRef>
          </c:cat>
          <c:val>
            <c:numRef>
              <c:extLst>
                <c:ext xmlns:c15="http://schemas.microsoft.com/office/drawing/2012/chart" uri="{02D57815-91ED-43cb-92C2-25804820EDAC}">
                  <c15:fullRef>
                    <c15:sqref>GRAPH!$D$47:$D$55</c15:sqref>
                  </c15:fullRef>
                </c:ext>
              </c:extLst>
              <c:f>GRAPH!$D$47:$D$54</c:f>
              <c:numCache>
                <c:formatCode>0.00%</c:formatCode>
                <c:ptCount val="8"/>
                <c:pt idx="0">
                  <c:v>3.040622808904395E-2</c:v>
                </c:pt>
                <c:pt idx="1">
                  <c:v>6.5681136070445761E-2</c:v>
                </c:pt>
                <c:pt idx="2">
                  <c:v>2.9209687653582353E-2</c:v>
                </c:pt>
                <c:pt idx="3">
                  <c:v>0.38178564086842631</c:v>
                </c:pt>
                <c:pt idx="4">
                  <c:v>7.1030048376218013E-2</c:v>
                </c:pt>
                <c:pt idx="5">
                  <c:v>7.8186824378258645E-3</c:v>
                </c:pt>
                <c:pt idx="6">
                  <c:v>6.7212557439064277E-2</c:v>
                </c:pt>
                <c:pt idx="7">
                  <c:v>0.34685595338425729</c:v>
                </c:pt>
              </c:numCache>
            </c:numRef>
          </c:val>
          <c:extLst>
            <c:ext xmlns:c15="http://schemas.microsoft.com/office/drawing/2012/chart" uri="{02D57815-91ED-43cb-92C2-25804820EDAC}">
              <c15:categoryFilterExceptions>
                <c15:categoryFilterException>
                  <c15:sqref>GRAPH!$D$55</c15:sqref>
                  <c15:spPr xmlns:c15="http://schemas.microsoft.com/office/drawing/2012/chart">
                    <a:solidFill>
                      <a:schemeClr val="accent4">
                        <a:lumMod val="60000"/>
                      </a:schemeClr>
                    </a:solidFill>
                    <a:ln w="25400">
                      <a:solidFill>
                        <a:schemeClr val="lt1"/>
                      </a:solidFill>
                    </a:ln>
                    <a:effectLst/>
                    <a:sp3d contourW="25400">
                      <a:contourClr>
                        <a:schemeClr val="lt1"/>
                      </a:contourClr>
                    </a:sp3d>
                  </c15:spPr>
                  <c15:bubble3D val="0"/>
                  <c15:dLbl>
                    <c:idx val="7"/>
                    <c:delete val="1"/>
                    <c:extLst>
                      <c:ext uri="{CE6537A1-D6FC-4f65-9D91-7224C49458BB}"/>
                      <c:ext xmlns:c16="http://schemas.microsoft.com/office/drawing/2014/chart" uri="{C3380CC4-5D6E-409C-BE32-E72D297353CC}">
                        <c16:uniqueId val="{00000011-15DA-480D-8F75-F1AB69BF4C77}"/>
                      </c:ext>
                    </c:extLst>
                  </c15:dLbl>
                </c15:categoryFilterException>
              </c15:categoryFilterExceptions>
            </c:ext>
            <c:ext xmlns:c16="http://schemas.microsoft.com/office/drawing/2014/chart" uri="{C3380CC4-5D6E-409C-BE32-E72D297353CC}">
              <c16:uniqueId val="{00000010-BFFE-4A73-83F5-2F97F93ED777}"/>
            </c:ext>
          </c:extLst>
        </c:ser>
        <c:dLbls>
          <c:showLegendKey val="0"/>
          <c:showVal val="0"/>
          <c:showCatName val="0"/>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b="1"/>
              <a:t>H-GAC</a:t>
            </a:r>
          </a:p>
          <a:p>
            <a:pPr>
              <a:defRPr sz="1800"/>
            </a:pPr>
            <a:r>
              <a:rPr lang="en-US" sz="1800" b="1" i="0" u="none" strike="noStrike" baseline="0">
                <a:effectLst/>
              </a:rPr>
              <a:t>2025 PROGRAM EXPENSES ($594,827,310)</a:t>
            </a:r>
            <a:endParaRPr lang="en-US" sz="1800" b="1"/>
          </a:p>
        </c:rich>
      </c:tx>
      <c:layout>
        <c:manualLayout>
          <c:xMode val="edge"/>
          <c:yMode val="edge"/>
          <c:x val="0.30191697219283647"/>
          <c:y val="1.3456619158282338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6388868012822256E-2"/>
          <c:y val="0.21941057873514211"/>
          <c:w val="0.84722222222222221"/>
          <c:h val="0.76334787195718179"/>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70C9-45CE-9F1E-E7813FB5A58B}"/>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70C9-45CE-9F1E-E7813FB5A58B}"/>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70C9-45CE-9F1E-E7813FB5A58B}"/>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70C9-45CE-9F1E-E7813FB5A58B}"/>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70C9-45CE-9F1E-E7813FB5A58B}"/>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70C9-45CE-9F1E-E7813FB5A58B}"/>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70C9-45CE-9F1E-E7813FB5A58B}"/>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70C9-45CE-9F1E-E7813FB5A58B}"/>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70C9-45CE-9F1E-E7813FB5A58B}"/>
              </c:ext>
            </c:extLst>
          </c:dPt>
          <c:dLbls>
            <c:dLbl>
              <c:idx val="0"/>
              <c:layout>
                <c:manualLayout>
                  <c:x val="-1.0242123393796137E-2"/>
                  <c:y val="-3.182171250210295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0C9-45CE-9F1E-E7813FB5A58B}"/>
                </c:ext>
              </c:extLst>
            </c:dLbl>
            <c:dLbl>
              <c:idx val="1"/>
              <c:layout>
                <c:manualLayout>
                  <c:x val="3.8178623841687416E-2"/>
                  <c:y val="-3.080835740543868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0C9-45CE-9F1E-E7813FB5A58B}"/>
                </c:ext>
              </c:extLst>
            </c:dLbl>
            <c:dLbl>
              <c:idx val="2"/>
              <c:layout>
                <c:manualLayout>
                  <c:x val="0.11614339041539726"/>
                  <c:y val="-3.730089494051640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0C9-45CE-9F1E-E7813FB5A58B}"/>
                </c:ext>
              </c:extLst>
            </c:dLbl>
            <c:dLbl>
              <c:idx val="3"/>
              <c:layout>
                <c:manualLayout>
                  <c:x val="0.17057802875012415"/>
                  <c:y val="6.86640249991946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0C9-45CE-9F1E-E7813FB5A58B}"/>
                </c:ext>
              </c:extLst>
            </c:dLbl>
            <c:dLbl>
              <c:idx val="4"/>
              <c:layout>
                <c:manualLayout>
                  <c:x val="0.34636532646062662"/>
                  <c:y val="-8.9102584753498179E-2"/>
                </c:manualLayout>
              </c:layout>
              <c:numFmt formatCode="0.00%" sourceLinked="0"/>
              <c:spPr>
                <a:solidFill>
                  <a:sysClr val="window" lastClr="FFFFFF">
                    <a:alpha val="70000"/>
                  </a:sysClr>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1200" b="0" i="0" u="none" strike="noStrike" kern="1200" baseline="0">
                      <a:solidFill>
                        <a:schemeClr val="dk1">
                          <a:lumMod val="65000"/>
                          <a:lumOff val="35000"/>
                        </a:schemeClr>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376517"/>
                        <a:gd name="adj2" fmla="val -441344"/>
                      </a:avLst>
                    </a:prstGeom>
                    <a:noFill/>
                    <a:ln>
                      <a:noFill/>
                    </a:ln>
                  </c15:spPr>
                </c:ext>
                <c:ext xmlns:c16="http://schemas.microsoft.com/office/drawing/2014/chart" uri="{C3380CC4-5D6E-409C-BE32-E72D297353CC}">
                  <c16:uniqueId val="{00000009-70C9-45CE-9F1E-E7813FB5A58B}"/>
                </c:ext>
              </c:extLst>
            </c:dLbl>
            <c:dLbl>
              <c:idx val="5"/>
              <c:layout>
                <c:manualLayout>
                  <c:x val="-0.10353535353535354"/>
                  <c:y val="5.228758169934640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0C9-45CE-9F1E-E7813FB5A58B}"/>
                </c:ext>
              </c:extLst>
            </c:dLbl>
            <c:dLbl>
              <c:idx val="6"/>
              <c:layout>
                <c:manualLayout>
                  <c:x val="-9.3734152929786263E-2"/>
                  <c:y val="-4.405803565157096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0C9-45CE-9F1E-E7813FB5A58B}"/>
                </c:ext>
              </c:extLst>
            </c:dLbl>
            <c:dLbl>
              <c:idx val="7"/>
              <c:layout>
                <c:manualLayout>
                  <c:x val="8.3695083921902606E-3"/>
                  <c:y val="-4.215499930199843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70C9-45CE-9F1E-E7813FB5A58B}"/>
                </c:ext>
              </c:extLst>
            </c:dLbl>
            <c:dLbl>
              <c:idx val="8"/>
              <c:layout>
                <c:manualLayout>
                  <c:x val="6.4013271211225851E-3"/>
                  <c:y val="-3.030639285914569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70C9-45CE-9F1E-E7813FB5A58B}"/>
                </c:ext>
              </c:extLst>
            </c:dLbl>
            <c:numFmt formatCode="0.00%"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200" b="0" i="0" u="none" strike="noStrike" kern="1200" baseline="0">
                    <a:solidFill>
                      <a:schemeClr val="dk1">
                        <a:lumMod val="65000"/>
                        <a:lumOff val="35000"/>
                      </a:schemeClr>
                    </a:solidFill>
                    <a:latin typeface="+mn-lt"/>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GRAPH!$C$6:$C$14</c:f>
              <c:strCache>
                <c:ptCount val="9"/>
                <c:pt idx="0">
                  <c:v>AGING</c:v>
                </c:pt>
                <c:pt idx="1">
                  <c:v>CAPITAL</c:v>
                </c:pt>
                <c:pt idx="2">
                  <c:v>C&amp;E</c:v>
                </c:pt>
                <c:pt idx="3">
                  <c:v>DATA SVCS</c:v>
                </c:pt>
                <c:pt idx="4">
                  <c:v>WORKFORCE</c:v>
                </c:pt>
                <c:pt idx="5">
                  <c:v>ENTERPRISE SOLUTIONS</c:v>
                </c:pt>
                <c:pt idx="6">
                  <c:v>LOCAL</c:v>
                </c:pt>
                <c:pt idx="7">
                  <c:v>SHARED SVC</c:v>
                </c:pt>
                <c:pt idx="8">
                  <c:v>TRANS</c:v>
                </c:pt>
              </c:strCache>
            </c:strRef>
          </c:cat>
          <c:val>
            <c:numRef>
              <c:f>GRAPH!$D$6:$D$14</c:f>
              <c:numCache>
                <c:formatCode>0.00%</c:formatCode>
                <c:ptCount val="9"/>
                <c:pt idx="0">
                  <c:v>3.2039691020280182E-2</c:v>
                </c:pt>
                <c:pt idx="1">
                  <c:v>6.2118870658374832E-3</c:v>
                </c:pt>
                <c:pt idx="2">
                  <c:v>3.3621478840287045E-2</c:v>
                </c:pt>
                <c:pt idx="3">
                  <c:v>3.4637649243181232E-3</c:v>
                </c:pt>
                <c:pt idx="4">
                  <c:v>0.83063376568229041</c:v>
                </c:pt>
                <c:pt idx="5">
                  <c:v>2.218097843895089E-2</c:v>
                </c:pt>
                <c:pt idx="6">
                  <c:v>3.5069693360591293E-3</c:v>
                </c:pt>
                <c:pt idx="7">
                  <c:v>1.7310940697161215E-2</c:v>
                </c:pt>
                <c:pt idx="8">
                  <c:v>5.1030523994815377E-2</c:v>
                </c:pt>
              </c:numCache>
            </c:numRef>
          </c:val>
          <c:extLst>
            <c:ext xmlns:c16="http://schemas.microsoft.com/office/drawing/2014/chart" uri="{C3380CC4-5D6E-409C-BE32-E72D297353CC}">
              <c16:uniqueId val="{00000012-70C9-45CE-9F1E-E7813FB5A58B}"/>
            </c:ext>
          </c:extLst>
        </c:ser>
        <c:dLbls>
          <c:showLegendKey val="0"/>
          <c:showVal val="0"/>
          <c:showCatName val="0"/>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800" b="1">
                <a:latin typeface="+mn-lt"/>
                <a:cs typeface="Arial" panose="020B0604020202020204" pitchFamily="34" charset="0"/>
              </a:rPr>
              <a:t>H-GAC</a:t>
            </a:r>
          </a:p>
          <a:p>
            <a:pPr>
              <a:defRPr sz="1800">
                <a:latin typeface="Arial" panose="020B0604020202020204" pitchFamily="34" charset="0"/>
                <a:cs typeface="Arial" panose="020B0604020202020204" pitchFamily="34" charset="0"/>
              </a:defRPr>
            </a:pPr>
            <a:r>
              <a:rPr lang="en-US" sz="1800" b="1" i="0" u="none" strike="noStrike" baseline="0">
                <a:effectLst/>
                <a:latin typeface="+mn-lt"/>
                <a:cs typeface="Arial" panose="020B0604020202020204" pitchFamily="34" charset="0"/>
              </a:rPr>
              <a:t>2025 CATEGORY EXPENSES ($594,827,310)</a:t>
            </a:r>
            <a:endParaRPr lang="en-US" sz="1800" b="1">
              <a:latin typeface="+mn-lt"/>
              <a:cs typeface="Arial" panose="020B0604020202020204" pitchFamily="34" charset="0"/>
            </a:endParaRPr>
          </a:p>
        </c:rich>
      </c:tx>
      <c:layout>
        <c:manualLayout>
          <c:xMode val="edge"/>
          <c:yMode val="edge"/>
          <c:x val="0.29941637776763042"/>
          <c:y val="1.9607784805231121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view3D>
      <c:rotX val="50"/>
      <c:rotY val="0"/>
      <c:depthPercent val="100"/>
      <c:rAngAx val="0"/>
      <c:perspective val="1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2702020202020207E-2"/>
          <c:y val="0.21486928104575165"/>
          <c:w val="0.84722222222222221"/>
          <c:h val="0.76699346405228763"/>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7ABF-404F-8439-AC87F76285D9}"/>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7ABF-404F-8439-AC87F76285D9}"/>
              </c:ext>
            </c:extLst>
          </c:dPt>
          <c:dPt>
            <c:idx val="2"/>
            <c:bubble3D val="0"/>
            <c:spPr>
              <a:solidFill>
                <a:srgbClr val="B5CD85"/>
              </a:solidFill>
              <a:ln w="25400">
                <a:solidFill>
                  <a:schemeClr val="lt1"/>
                </a:solidFill>
              </a:ln>
              <a:effectLst/>
              <a:sp3d contourW="25400">
                <a:contourClr>
                  <a:schemeClr val="lt1"/>
                </a:contourClr>
              </a:sp3d>
            </c:spPr>
            <c:extLst>
              <c:ext xmlns:c16="http://schemas.microsoft.com/office/drawing/2014/chart" uri="{C3380CC4-5D6E-409C-BE32-E72D297353CC}">
                <c16:uniqueId val="{00000005-7ABF-404F-8439-AC87F76285D9}"/>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7ABF-404F-8439-AC87F76285D9}"/>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7ABF-404F-8439-AC87F76285D9}"/>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7ABF-404F-8439-AC87F76285D9}"/>
              </c:ext>
            </c:extLst>
          </c:dPt>
          <c:dLbls>
            <c:dLbl>
              <c:idx val="0"/>
              <c:layout>
                <c:manualLayout>
                  <c:x val="8.6078486897915571E-2"/>
                  <c:y val="-3.514164312533379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BF-404F-8439-AC87F76285D9}"/>
                </c:ext>
              </c:extLst>
            </c:dLbl>
            <c:dLbl>
              <c:idx val="1"/>
              <c:layout>
                <c:manualLayout>
                  <c:x val="0.10547419735183002"/>
                  <c:y val="1.428282403465180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BF-404F-8439-AC87F76285D9}"/>
                </c:ext>
              </c:extLst>
            </c:dLbl>
            <c:dLbl>
              <c:idx val="2"/>
              <c:layout>
                <c:manualLayout>
                  <c:x val="0.49361354725348916"/>
                  <c:y val="-7.6700451448248594E-2"/>
                </c:manualLayout>
              </c:layout>
              <c:numFmt formatCode="0.00%" sourceLinked="0"/>
              <c:spPr>
                <a:solidFill>
                  <a:sysClr val="window" lastClr="FFFFFF">
                    <a:alpha val="70000"/>
                  </a:sysClr>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12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416434"/>
                        <a:gd name="adj2" fmla="val -357043"/>
                      </a:avLst>
                    </a:prstGeom>
                    <a:noFill/>
                    <a:ln>
                      <a:noFill/>
                    </a:ln>
                  </c15:spPr>
                </c:ext>
                <c:ext xmlns:c16="http://schemas.microsoft.com/office/drawing/2014/chart" uri="{C3380CC4-5D6E-409C-BE32-E72D297353CC}">
                  <c16:uniqueId val="{00000005-7ABF-404F-8439-AC87F76285D9}"/>
                </c:ext>
              </c:extLst>
            </c:dLbl>
            <c:dLbl>
              <c:idx val="3"/>
              <c:layout>
                <c:manualLayout>
                  <c:x val="-0.15404041586447781"/>
                  <c:y val="-2.604563304287097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ABF-404F-8439-AC87F76285D9}"/>
                </c:ext>
              </c:extLst>
            </c:dLbl>
            <c:dLbl>
              <c:idx val="4"/>
              <c:layout>
                <c:manualLayout>
                  <c:x val="-3.557345896410883E-2"/>
                  <c:y val="-3.013759285060875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ABF-404F-8439-AC87F76285D9}"/>
                </c:ext>
              </c:extLst>
            </c:dLbl>
            <c:dLbl>
              <c:idx val="5"/>
              <c:layout>
                <c:manualLayout>
                  <c:x val="6.9554435313706087E-2"/>
                  <c:y val="-2.993575813440985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ABF-404F-8439-AC87F76285D9}"/>
                </c:ext>
              </c:extLst>
            </c:dLbl>
            <c:numFmt formatCode="0.00%"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2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GRAPH!$C$19:$C$24</c:f>
              <c:strCache>
                <c:ptCount val="6"/>
                <c:pt idx="0">
                  <c:v>SAL &amp; BEN</c:v>
                </c:pt>
                <c:pt idx="1">
                  <c:v>CONTRACT</c:v>
                </c:pt>
                <c:pt idx="2">
                  <c:v>PASS THRU</c:v>
                </c:pt>
                <c:pt idx="3">
                  <c:v>OTHER</c:v>
                </c:pt>
                <c:pt idx="4">
                  <c:v>INDIRECT</c:v>
                </c:pt>
                <c:pt idx="5">
                  <c:v>CAPITAL</c:v>
                </c:pt>
              </c:strCache>
            </c:strRef>
          </c:cat>
          <c:val>
            <c:numRef>
              <c:f>GRAPH!$D$19:$D$24</c:f>
              <c:numCache>
                <c:formatCode>0.00%</c:formatCode>
                <c:ptCount val="6"/>
                <c:pt idx="0">
                  <c:v>8.5865039640585519E-2</c:v>
                </c:pt>
                <c:pt idx="1">
                  <c:v>3.9385953050384608E-2</c:v>
                </c:pt>
                <c:pt idx="2">
                  <c:v>0.84203112295056182</c:v>
                </c:pt>
                <c:pt idx="3">
                  <c:v>1.5869027316187185E-2</c:v>
                </c:pt>
                <c:pt idx="4">
                  <c:v>9.5862448177795288E-3</c:v>
                </c:pt>
                <c:pt idx="5">
                  <c:v>7.262612224501341E-3</c:v>
                </c:pt>
              </c:numCache>
            </c:numRef>
          </c:val>
          <c:extLst>
            <c:ext xmlns:c16="http://schemas.microsoft.com/office/drawing/2014/chart" uri="{C3380CC4-5D6E-409C-BE32-E72D297353CC}">
              <c16:uniqueId val="{0000000C-7ABF-404F-8439-AC87F76285D9}"/>
            </c:ext>
          </c:extLst>
        </c:ser>
        <c:dLbls>
          <c:showLegendKey val="0"/>
          <c:showVal val="0"/>
          <c:showCatName val="0"/>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b="1" i="0" baseline="0">
                <a:effectLst/>
              </a:rPr>
              <a:t>H-GAC</a:t>
            </a:r>
            <a:br>
              <a:rPr lang="en-US" sz="1800" b="1" i="0" baseline="0">
                <a:effectLst/>
              </a:rPr>
            </a:br>
            <a:r>
              <a:rPr lang="en-US" sz="1800" b="1" i="0" baseline="0">
                <a:effectLst/>
              </a:rPr>
              <a:t>2025 SHARED ADMINISTRATIVE ($5,701,423)</a:t>
            </a:r>
            <a:endParaRPr lang="en-US" b="1">
              <a:effectLst/>
            </a:endParaRPr>
          </a:p>
        </c:rich>
      </c:tx>
      <c:layout>
        <c:manualLayout>
          <c:xMode val="edge"/>
          <c:yMode val="edge"/>
          <c:x val="0.2818840133731258"/>
          <c:y val="1.1151761169166196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3841687760298785E-2"/>
          <c:y val="0.19759744925397521"/>
          <c:w val="0.84722222222222221"/>
          <c:h val="0.7947662240749318"/>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AB39-48D2-B5A7-6CC0CD4385F8}"/>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AB39-48D2-B5A7-6CC0CD4385F8}"/>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AB39-48D2-B5A7-6CC0CD4385F8}"/>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AB39-48D2-B5A7-6CC0CD4385F8}"/>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AB39-48D2-B5A7-6CC0CD4385F8}"/>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AB39-48D2-B5A7-6CC0CD4385F8}"/>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AB39-48D2-B5A7-6CC0CD4385F8}"/>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AB39-48D2-B5A7-6CC0CD4385F8}"/>
              </c:ext>
            </c:extLst>
          </c:dPt>
          <c:dLbls>
            <c:dLbl>
              <c:idx val="0"/>
              <c:layout>
                <c:manualLayout>
                  <c:x val="5.6548106506277902E-2"/>
                  <c:y val="-0.11106906255680002"/>
                </c:manualLayout>
              </c:layout>
              <c:numFmt formatCode="0.00%" sourceLinked="0"/>
              <c:spPr>
                <a:solidFill>
                  <a:sysClr val="window" lastClr="FFFFFF">
                    <a:alpha val="70000"/>
                  </a:sysClr>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1200" b="0" i="0" u="none" strike="noStrike" kern="1200" baseline="0">
                      <a:solidFill>
                        <a:schemeClr val="dk1">
                          <a:lumMod val="65000"/>
                          <a:lumOff val="35000"/>
                        </a:schemeClr>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488198"/>
                        <a:gd name="adj2" fmla="val -205530"/>
                      </a:avLst>
                    </a:prstGeom>
                    <a:noFill/>
                    <a:ln>
                      <a:noFill/>
                    </a:ln>
                  </c15:spPr>
                </c:ext>
                <c:ext xmlns:c16="http://schemas.microsoft.com/office/drawing/2014/chart" uri="{C3380CC4-5D6E-409C-BE32-E72D297353CC}">
                  <c16:uniqueId val="{00000001-AB39-48D2-B5A7-6CC0CD4385F8}"/>
                </c:ext>
              </c:extLst>
            </c:dLbl>
            <c:dLbl>
              <c:idx val="1"/>
              <c:layout>
                <c:manualLayout>
                  <c:x val="-3.0549698828338762E-2"/>
                  <c:y val="2.117846264116978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B39-48D2-B5A7-6CC0CD4385F8}"/>
                </c:ext>
              </c:extLst>
            </c:dLbl>
            <c:dLbl>
              <c:idx val="2"/>
              <c:layout>
                <c:manualLayout>
                  <c:x val="-3.424374028502724E-2"/>
                  <c:y val="-3.510811176399841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B39-48D2-B5A7-6CC0CD4385F8}"/>
                </c:ext>
              </c:extLst>
            </c:dLbl>
            <c:dLbl>
              <c:idx val="3"/>
              <c:layout>
                <c:manualLayout>
                  <c:x val="-2.2550449973217642E-2"/>
                  <c:y val="-4.47303643323395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B39-48D2-B5A7-6CC0CD4385F8}"/>
                </c:ext>
              </c:extLst>
            </c:dLbl>
            <c:dLbl>
              <c:idx val="4"/>
              <c:layout>
                <c:manualLayout>
                  <c:x val="-3.7674979594303916E-2"/>
                  <c:y val="-3.024116885259738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B39-48D2-B5A7-6CC0CD4385F8}"/>
                </c:ext>
              </c:extLst>
            </c:dLbl>
            <c:dLbl>
              <c:idx val="5"/>
              <c:layout>
                <c:manualLayout>
                  <c:x val="1.8792041644348036E-2"/>
                  <c:y val="-3.674279927299321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B39-48D2-B5A7-6CC0CD4385F8}"/>
                </c:ext>
              </c:extLst>
            </c:dLbl>
            <c:dLbl>
              <c:idx val="6"/>
              <c:layout>
                <c:manualLayout>
                  <c:x val="9.1712445212857679E-2"/>
                  <c:y val="-5.793694155135004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AB39-48D2-B5A7-6CC0CD4385F8}"/>
                </c:ext>
              </c:extLst>
            </c:dLbl>
            <c:dLbl>
              <c:idx val="7"/>
              <c:layout>
                <c:manualLayout>
                  <c:x val="0.11400505264237808"/>
                  <c:y val="-2.875523421364687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AB39-48D2-B5A7-6CC0CD4385F8}"/>
                </c:ext>
              </c:extLst>
            </c:dLbl>
            <c:numFmt formatCode="0.00%"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200" b="0" i="0" u="none" strike="noStrike" kern="1200" baseline="0">
                    <a:solidFill>
                      <a:schemeClr val="dk1">
                        <a:lumMod val="65000"/>
                        <a:lumOff val="35000"/>
                      </a:schemeClr>
                    </a:solidFill>
                    <a:latin typeface="+mn-lt"/>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GRAPH!$C$29:$C$36</c:f>
              <c:strCache>
                <c:ptCount val="8"/>
                <c:pt idx="0">
                  <c:v>SAL &amp; BEN</c:v>
                </c:pt>
                <c:pt idx="1">
                  <c:v>CONTR</c:v>
                </c:pt>
                <c:pt idx="2">
                  <c:v>TRAVEL</c:v>
                </c:pt>
                <c:pt idx="3">
                  <c:v>DEPREC</c:v>
                </c:pt>
                <c:pt idx="4">
                  <c:v>RENT</c:v>
                </c:pt>
                <c:pt idx="5">
                  <c:v>SUPPLIES</c:v>
                </c:pt>
                <c:pt idx="6">
                  <c:v>EQUIP</c:v>
                </c:pt>
                <c:pt idx="7">
                  <c:v>OTHER</c:v>
                </c:pt>
              </c:strCache>
            </c:strRef>
          </c:cat>
          <c:val>
            <c:numRef>
              <c:f>GRAPH!$D$29:$D$36</c:f>
              <c:numCache>
                <c:formatCode>0.00%</c:formatCode>
                <c:ptCount val="8"/>
                <c:pt idx="0">
                  <c:v>0.737090587813933</c:v>
                </c:pt>
                <c:pt idx="1">
                  <c:v>2.1746144957652938E-2</c:v>
                </c:pt>
                <c:pt idx="2">
                  <c:v>9.7331535899172431E-3</c:v>
                </c:pt>
                <c:pt idx="3">
                  <c:v>0.1087307247882647</c:v>
                </c:pt>
                <c:pt idx="4">
                  <c:v>2.4896803391735119E-2</c:v>
                </c:pt>
                <c:pt idx="5">
                  <c:v>1.5715097174639355E-3</c:v>
                </c:pt>
                <c:pt idx="6">
                  <c:v>5.348850171035602E-3</c:v>
                </c:pt>
                <c:pt idx="7">
                  <c:v>9.0882225569997532E-2</c:v>
                </c:pt>
              </c:numCache>
            </c:numRef>
          </c:val>
          <c:extLst>
            <c:ext xmlns:c16="http://schemas.microsoft.com/office/drawing/2014/chart" uri="{C3380CC4-5D6E-409C-BE32-E72D297353CC}">
              <c16:uniqueId val="{00000010-AB39-48D2-B5A7-6CC0CD4385F8}"/>
            </c:ext>
          </c:extLst>
        </c:ser>
        <c:dLbls>
          <c:showLegendKey val="0"/>
          <c:showVal val="0"/>
          <c:showCatName val="0"/>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800" b="1" i="0" baseline="0">
                <a:effectLst/>
                <a:latin typeface="+mn-lt"/>
              </a:rPr>
              <a:t>H-GAC</a:t>
            </a:r>
            <a:br>
              <a:rPr lang="en-US" sz="1800" b="1" i="0" baseline="0">
                <a:effectLst/>
                <a:latin typeface="+mn-lt"/>
              </a:rPr>
            </a:br>
            <a:r>
              <a:rPr lang="en-US" sz="1800" b="1" i="0" baseline="0">
                <a:effectLst/>
                <a:latin typeface="+mn-lt"/>
              </a:rPr>
              <a:t>2025 UNRESTRICTED FUND USE ($16,883,404)</a:t>
            </a:r>
            <a:endParaRPr lang="en-US" b="1">
              <a:effectLst/>
              <a:latin typeface="+mn-lt"/>
            </a:endParaRPr>
          </a:p>
        </c:rich>
      </c:tx>
      <c:layout>
        <c:manualLayout>
          <c:xMode val="edge"/>
          <c:yMode val="edge"/>
          <c:x val="0.2725615673498008"/>
          <c:y val="1.4528082414012818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2918241242730694E-2"/>
          <c:y val="0.17464969140912204"/>
          <c:w val="0.83078776785470765"/>
          <c:h val="0.75022954758601212"/>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75D6-4EC0-965E-0C02DCD5C8E7}"/>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75D6-4EC0-965E-0C02DCD5C8E7}"/>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75D6-4EC0-965E-0C02DCD5C8E7}"/>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75D6-4EC0-965E-0C02DCD5C8E7}"/>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75D6-4EC0-965E-0C02DCD5C8E7}"/>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75D6-4EC0-965E-0C02DCD5C8E7}"/>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75D6-4EC0-965E-0C02DCD5C8E7}"/>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75D6-4EC0-965E-0C02DCD5C8E7}"/>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75D6-4EC0-965E-0C02DCD5C8E7}"/>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75D6-4EC0-965E-0C02DCD5C8E7}"/>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B4E2-4CA3-AB5F-EAC18AD2F9B9}"/>
              </c:ext>
            </c:extLst>
          </c:dPt>
          <c:dLbls>
            <c:dLbl>
              <c:idx val="0"/>
              <c:layout>
                <c:manualLayout>
                  <c:x val="5.6029486314944893E-2"/>
                  <c:y val="-2.6473988593287569E-2"/>
                </c:manualLayout>
              </c:layout>
              <c:numFmt formatCode="0.00%" sourceLinked="0"/>
              <c:spPr>
                <a:solidFill>
                  <a:sysClr val="window" lastClr="FFFFFF">
                    <a:alpha val="70000"/>
                  </a:sysClr>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12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112073"/>
                        <a:gd name="adj2" fmla="val 107986"/>
                      </a:avLst>
                    </a:prstGeom>
                    <a:noFill/>
                    <a:ln>
                      <a:noFill/>
                    </a:ln>
                  </c15:spPr>
                </c:ext>
                <c:ext xmlns:c16="http://schemas.microsoft.com/office/drawing/2014/chart" uri="{C3380CC4-5D6E-409C-BE32-E72D297353CC}">
                  <c16:uniqueId val="{00000001-75D6-4EC0-965E-0C02DCD5C8E7}"/>
                </c:ext>
              </c:extLst>
            </c:dLbl>
            <c:dLbl>
              <c:idx val="1"/>
              <c:layout>
                <c:manualLayout>
                  <c:x val="1.2958983776126162E-2"/>
                  <c:y val="-2.746684093616344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5D6-4EC0-965E-0C02DCD5C8E7}"/>
                </c:ext>
              </c:extLst>
            </c:dLbl>
            <c:dLbl>
              <c:idx val="2"/>
              <c:layout>
                <c:manualLayout>
                  <c:x val="3.297949458475101E-2"/>
                  <c:y val="-3.763208268390841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5D6-4EC0-965E-0C02DCD5C8E7}"/>
                </c:ext>
              </c:extLst>
            </c:dLbl>
            <c:dLbl>
              <c:idx val="3"/>
              <c:layout>
                <c:manualLayout>
                  <c:x val="0.1171112144647344"/>
                  <c:y val="2.3588079692482403E-2"/>
                </c:manualLayout>
              </c:layout>
              <c:numFmt formatCode="0.00%" sourceLinked="0"/>
              <c:spPr>
                <a:solidFill>
                  <a:sysClr val="window" lastClr="FFFFFF">
                    <a:alpha val="70000"/>
                  </a:sysClr>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12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259178"/>
                        <a:gd name="adj2" fmla="val -247235"/>
                      </a:avLst>
                    </a:prstGeom>
                    <a:noFill/>
                    <a:ln>
                      <a:noFill/>
                    </a:ln>
                  </c15:spPr>
                </c:ext>
                <c:ext xmlns:c16="http://schemas.microsoft.com/office/drawing/2014/chart" uri="{C3380CC4-5D6E-409C-BE32-E72D297353CC}">
                  <c16:uniqueId val="{00000007-75D6-4EC0-965E-0C02DCD5C8E7}"/>
                </c:ext>
              </c:extLst>
            </c:dLbl>
            <c:dLbl>
              <c:idx val="4"/>
              <c:layout>
                <c:manualLayout>
                  <c:x val="8.7654609299615133E-2"/>
                  <c:y val="0.16850700465911725"/>
                </c:manualLayout>
              </c:layout>
              <c:numFmt formatCode="0.00%" sourceLinked="0"/>
              <c:spPr>
                <a:solidFill>
                  <a:sysClr val="window" lastClr="FFFFFF">
                    <a:alpha val="70000"/>
                  </a:sysClr>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12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2903"/>
                        <a:gd name="adj2" fmla="val -324793"/>
                      </a:avLst>
                    </a:prstGeom>
                    <a:noFill/>
                    <a:ln>
                      <a:noFill/>
                    </a:ln>
                  </c15:spPr>
                </c:ext>
                <c:ext xmlns:c16="http://schemas.microsoft.com/office/drawing/2014/chart" uri="{C3380CC4-5D6E-409C-BE32-E72D297353CC}">
                  <c16:uniqueId val="{00000009-75D6-4EC0-965E-0C02DCD5C8E7}"/>
                </c:ext>
              </c:extLst>
            </c:dLbl>
            <c:dLbl>
              <c:idx val="5"/>
              <c:layout>
                <c:manualLayout>
                  <c:x val="5.8531227446230252E-3"/>
                  <c:y val="8.0623240177627176E-2"/>
                </c:manualLayout>
              </c:layout>
              <c:numFmt formatCode="0.00%" sourceLinked="0"/>
              <c:spPr>
                <a:solidFill>
                  <a:sysClr val="window" lastClr="FFFFFF">
                    <a:alpha val="70000"/>
                  </a:sysClr>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12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93703"/>
                        <a:gd name="adj2" fmla="val -100281"/>
                      </a:avLst>
                    </a:prstGeom>
                    <a:noFill/>
                    <a:ln>
                      <a:noFill/>
                    </a:ln>
                  </c15:spPr>
                  <c15:layout>
                    <c:manualLayout>
                      <c:w val="0.17436087452957871"/>
                      <c:h val="5.228427274882589E-2"/>
                    </c:manualLayout>
                  </c15:layout>
                </c:ext>
                <c:ext xmlns:c16="http://schemas.microsoft.com/office/drawing/2014/chart" uri="{C3380CC4-5D6E-409C-BE32-E72D297353CC}">
                  <c16:uniqueId val="{0000000B-75D6-4EC0-965E-0C02DCD5C8E7}"/>
                </c:ext>
              </c:extLst>
            </c:dLbl>
            <c:dLbl>
              <c:idx val="6"/>
              <c:layout>
                <c:manualLayout>
                  <c:x val="-1.8225544952315726E-2"/>
                  <c:y val="1.7939259130913866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6576" tIns="18288" rIns="36576" bIns="18288" anchor="ctr" anchorCtr="1">
                  <a:spAutoFit/>
                </a:bodyPr>
                <a:lstStyle/>
                <a:p>
                  <a:pPr>
                    <a:defRPr sz="12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gd name="adj1" fmla="val 130405"/>
                        <a:gd name="adj2" fmla="val 128170"/>
                      </a:avLst>
                    </a:prstGeom>
                    <a:noFill/>
                    <a:ln>
                      <a:noFill/>
                    </a:ln>
                  </c15:spPr>
                </c:ext>
                <c:ext xmlns:c16="http://schemas.microsoft.com/office/drawing/2014/chart" uri="{C3380CC4-5D6E-409C-BE32-E72D297353CC}">
                  <c16:uniqueId val="{0000000D-75D6-4EC0-965E-0C02DCD5C8E7}"/>
                </c:ext>
              </c:extLst>
            </c:dLbl>
            <c:dLbl>
              <c:idx val="7"/>
              <c:layout>
                <c:manualLayout>
                  <c:x val="-9.7441908990554507E-2"/>
                  <c:y val="-2.1255923791866124E-2"/>
                </c:manualLayout>
              </c:layout>
              <c:numFmt formatCode="0.00%" sourceLinked="0"/>
              <c:spPr>
                <a:solidFill>
                  <a:sysClr val="window" lastClr="FFFFFF">
                    <a:alpha val="70000"/>
                  </a:sysClr>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12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172946"/>
                        <a:gd name="adj2" fmla="val 175710"/>
                      </a:avLst>
                    </a:prstGeom>
                    <a:noFill/>
                    <a:ln>
                      <a:noFill/>
                    </a:ln>
                  </c15:spPr>
                  <c15:layout>
                    <c:manualLayout>
                      <c:w val="6.659501444230892E-2"/>
                      <c:h val="5.228427274882589E-2"/>
                    </c:manualLayout>
                  </c15:layout>
                </c:ext>
                <c:ext xmlns:c16="http://schemas.microsoft.com/office/drawing/2014/chart" uri="{C3380CC4-5D6E-409C-BE32-E72D297353CC}">
                  <c16:uniqueId val="{0000000F-75D6-4EC0-965E-0C02DCD5C8E7}"/>
                </c:ext>
              </c:extLst>
            </c:dLbl>
            <c:numFmt formatCode="0.00%" sourceLinked="0"/>
            <c:spPr>
              <a:solidFill>
                <a:sysClr val="window" lastClr="FFFFFF">
                  <a:alpha val="70000"/>
                </a:sysClr>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2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GRAPH!$C$60:$C$67</c:f>
              <c:strCache>
                <c:ptCount val="8"/>
                <c:pt idx="0">
                  <c:v>AGING</c:v>
                </c:pt>
                <c:pt idx="1">
                  <c:v>C &amp; E and 911 DISTRICT</c:v>
                </c:pt>
                <c:pt idx="2">
                  <c:v>LOCAL</c:v>
                </c:pt>
                <c:pt idx="3">
                  <c:v>LDC</c:v>
                </c:pt>
                <c:pt idx="4">
                  <c:v>EDC</c:v>
                </c:pt>
                <c:pt idx="5">
                  <c:v>WORKSHOP/LOCAL</c:v>
                </c:pt>
                <c:pt idx="6">
                  <c:v>SHARED SVCS</c:v>
                </c:pt>
                <c:pt idx="7">
                  <c:v>TRANS</c:v>
                </c:pt>
              </c:strCache>
            </c:strRef>
          </c:cat>
          <c:val>
            <c:numRef>
              <c:f>GRAPH!$D$60:$D$67</c:f>
              <c:numCache>
                <c:formatCode>0.00%</c:formatCode>
                <c:ptCount val="8"/>
                <c:pt idx="0">
                  <c:v>1.8397122488125209E-2</c:v>
                </c:pt>
                <c:pt idx="1">
                  <c:v>0.35741333441928547</c:v>
                </c:pt>
                <c:pt idx="2">
                  <c:v>2.0748662886647926E-2</c:v>
                </c:pt>
                <c:pt idx="3">
                  <c:v>6.0610773121119156E-2</c:v>
                </c:pt>
                <c:pt idx="4">
                  <c:v>0.31278690020600086</c:v>
                </c:pt>
                <c:pt idx="5">
                  <c:v>0.10280712866075839</c:v>
                </c:pt>
                <c:pt idx="6">
                  <c:v>0.10328480234243421</c:v>
                </c:pt>
                <c:pt idx="7">
                  <c:v>2.3951275875628879E-2</c:v>
                </c:pt>
              </c:numCache>
            </c:numRef>
          </c:val>
          <c:extLst>
            <c:ext xmlns:c16="http://schemas.microsoft.com/office/drawing/2014/chart" uri="{C3380CC4-5D6E-409C-BE32-E72D297353CC}">
              <c16:uniqueId val="{00000014-75D6-4EC0-965E-0C02DCD5C8E7}"/>
            </c:ext>
          </c:extLst>
        </c:ser>
        <c:dLbls>
          <c:showLegendKey val="0"/>
          <c:showVal val="0"/>
          <c:showCatName val="0"/>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25" l="0.7" r="0.7" t="0.25"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180182</xdr:colOff>
      <xdr:row>1</xdr:row>
      <xdr:rowOff>39846</xdr:rowOff>
    </xdr:from>
    <xdr:to>
      <xdr:col>15</xdr:col>
      <xdr:colOff>238125</xdr:colOff>
      <xdr:row>42</xdr:row>
      <xdr:rowOff>0</xdr:rowOff>
    </xdr:to>
    <xdr:graphicFrame macro="">
      <xdr:nvGraphicFramePr>
        <xdr:cNvPr id="8" name="Chart 3">
          <a:extLst>
            <a:ext uri="{FF2B5EF4-FFF2-40B4-BE49-F238E27FC236}">
              <a16:creationId xmlns:a16="http://schemas.microsoft.com/office/drawing/2014/main" id="{AC4E202C-C69F-46FF-B5CC-8673A532E5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43097</xdr:colOff>
      <xdr:row>4</xdr:row>
      <xdr:rowOff>105833</xdr:rowOff>
    </xdr:from>
    <xdr:to>
      <xdr:col>16</xdr:col>
      <xdr:colOff>391582</xdr:colOff>
      <xdr:row>48</xdr:row>
      <xdr:rowOff>95250</xdr:rowOff>
    </xdr:to>
    <xdr:graphicFrame macro="">
      <xdr:nvGraphicFramePr>
        <xdr:cNvPr id="5" name="Chart 3">
          <a:extLst>
            <a:ext uri="{FF2B5EF4-FFF2-40B4-BE49-F238E27FC236}">
              <a16:creationId xmlns:a16="http://schemas.microsoft.com/office/drawing/2014/main" id="{E44D5267-C0A7-436A-B3DF-1F1A5E47D1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155449</xdr:colOff>
      <xdr:row>0</xdr:row>
      <xdr:rowOff>82628</xdr:rowOff>
    </xdr:from>
    <xdr:to>
      <xdr:col>16</xdr:col>
      <xdr:colOff>523874</xdr:colOff>
      <xdr:row>48</xdr:row>
      <xdr:rowOff>95250</xdr:rowOff>
    </xdr:to>
    <xdr:graphicFrame macro="">
      <xdr:nvGraphicFramePr>
        <xdr:cNvPr id="12" name="Chart 2">
          <a:extLst>
            <a:ext uri="{FF2B5EF4-FFF2-40B4-BE49-F238E27FC236}">
              <a16:creationId xmlns:a16="http://schemas.microsoft.com/office/drawing/2014/main" id="{AFE1732A-EC04-4AC9-9459-BCF9793FEB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247361</xdr:colOff>
      <xdr:row>1</xdr:row>
      <xdr:rowOff>18258</xdr:rowOff>
    </xdr:from>
    <xdr:to>
      <xdr:col>17</xdr:col>
      <xdr:colOff>571500</xdr:colOff>
      <xdr:row>48</xdr:row>
      <xdr:rowOff>126999</xdr:rowOff>
    </xdr:to>
    <xdr:graphicFrame macro="">
      <xdr:nvGraphicFramePr>
        <xdr:cNvPr id="10" name="Chart 2">
          <a:extLst>
            <a:ext uri="{FF2B5EF4-FFF2-40B4-BE49-F238E27FC236}">
              <a16:creationId xmlns:a16="http://schemas.microsoft.com/office/drawing/2014/main" id="{6C4ED209-4333-46E5-895E-3DBFFC71F9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215324</xdr:colOff>
      <xdr:row>0</xdr:row>
      <xdr:rowOff>82982</xdr:rowOff>
    </xdr:from>
    <xdr:to>
      <xdr:col>16</xdr:col>
      <xdr:colOff>559594</xdr:colOff>
      <xdr:row>48</xdr:row>
      <xdr:rowOff>107156</xdr:rowOff>
    </xdr:to>
    <xdr:graphicFrame macro="">
      <xdr:nvGraphicFramePr>
        <xdr:cNvPr id="17" name="Chart 2">
          <a:extLst>
            <a:ext uri="{FF2B5EF4-FFF2-40B4-BE49-F238E27FC236}">
              <a16:creationId xmlns:a16="http://schemas.microsoft.com/office/drawing/2014/main" id="{662AB18A-004E-476A-8191-FB93A86D49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142426</xdr:colOff>
      <xdr:row>0</xdr:row>
      <xdr:rowOff>48639</xdr:rowOff>
    </xdr:from>
    <xdr:to>
      <xdr:col>16</xdr:col>
      <xdr:colOff>452437</xdr:colOff>
      <xdr:row>47</xdr:row>
      <xdr:rowOff>95249</xdr:rowOff>
    </xdr:to>
    <xdr:graphicFrame macro="">
      <xdr:nvGraphicFramePr>
        <xdr:cNvPr id="6" name="Chart 2">
          <a:extLst>
            <a:ext uri="{FF2B5EF4-FFF2-40B4-BE49-F238E27FC236}">
              <a16:creationId xmlns:a16="http://schemas.microsoft.com/office/drawing/2014/main" id="{A53705BE-07DD-43D2-8B9B-270FF69688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H-GACCentral/Budget/2025%20December%20Final/2025%20December%20Final%20-%20Transportation%20Budget.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https://hgac.sharepoint.com/sites/H-GACCentral/Budget/2025%20December%20Final/2025%20December%20Final%20-%20Allocation.xlsx" TargetMode="External"/><Relationship Id="rId1" Type="http://schemas.openxmlformats.org/officeDocument/2006/relationships/externalLinkPath" Target="/sites/H-GACCentral/Budget/2025%20December%20Final/2025%20December%20Final%20-%20Alloc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H-GACCentral/Budget/2025%20December%20Final/2025%20December%20Final%20-%20C&amp;E%20Budget.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hgac.sharepoint.com/sites/H-GACCentral/Budget/2025%20December%20Final/2025%20December%20Final%20-%20Human%20Services%20Budget.xlsx" TargetMode="External"/><Relationship Id="rId1" Type="http://schemas.openxmlformats.org/officeDocument/2006/relationships/externalLinkPath" Target="/sites/H-GACCentral/Budget/2025%20December%20Final/2025%20December%20Final%20-%20Human%20Services%20Budget.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hgac.sharepoint.com/sites/H-GACCentral/Budget/2025%20December%20Final/2025%20December%20Final%20-%20Shared%20Services.xlsx" TargetMode="External"/><Relationship Id="rId1" Type="http://schemas.openxmlformats.org/officeDocument/2006/relationships/externalLinkPath" Target="/sites/H-GACCentral/Budget/2025%20December%20Final/2025%20December%20Final%20-%20Shared%20Services.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hgac.sharepoint.com/sites/H-GACCentral/Budget/2025%20December%20Final/2025%20December%20Final%20-%20Data%20Services%20Budget.xlsx" TargetMode="External"/><Relationship Id="rId1" Type="http://schemas.openxmlformats.org/officeDocument/2006/relationships/externalLinkPath" Target="/sites/H-GACCentral/Budget/2025%20December%20Final/2025%20December%20Final%20-%20Data%20Services%20Budget.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hgac.sharepoint.com/sites/H-GACCentral/Budget/2025%20December%20Final/2025%20December%20Final%20-%20Enterprise%20Solutions%20Budget.xlsx" TargetMode="External"/><Relationship Id="rId1" Type="http://schemas.openxmlformats.org/officeDocument/2006/relationships/externalLinkPath" Target="/sites/H-GACCentral/Budget/2025%20December%20Final/2025%20December%20Final%20-%20Enterprise%20Solutions%20Budget.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hgac.sharepoint.com/sites/H-GACCentral/Budget/2025%20December%20Final/2025%20December%20Final%20-%20Admin%20&amp;%20Finance.xlsx" TargetMode="External"/><Relationship Id="rId1" Type="http://schemas.openxmlformats.org/officeDocument/2006/relationships/externalLinkPath" Target="/sites/H-GACCentral/Budget/2025%20December%20Final/2025%20December%20Final%20-%20Admin%20&amp;%20Finance.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hgac.sharepoint.com/sites/H-GACCentral/Budget/2025%20Revised%20SVCPLAN.xlsx" TargetMode="External"/><Relationship Id="rId1" Type="http://schemas.openxmlformats.org/officeDocument/2006/relationships/externalLinkPath" Target="/sites/H-GACCentral/Budget/2025%20Revised%20SVCPLAN.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https://hgac.sharepoint.com/sites/H-GACCentral/Budget/2025%20December%20Final/2025%20December%20Final%20-%20Personnel.xlsx" TargetMode="External"/><Relationship Id="rId1" Type="http://schemas.openxmlformats.org/officeDocument/2006/relationships/externalLinkPath" Target="/sites/H-GACCentral/Budget/2025%20December%20Final/2025%20December%20Final%20-%20Personn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heetName val="BUDGET-501"/>
      <sheetName val="BUDGET-502"/>
      <sheetName val="BUDGET-503"/>
      <sheetName val="EQUIP"/>
      <sheetName val="EQUIP-501"/>
      <sheetName val="EQUIP-502"/>
      <sheetName val="EQUIP-503"/>
      <sheetName val="OTHER"/>
      <sheetName val="OTHER-501"/>
      <sheetName val="OTHER-502"/>
      <sheetName val="OTHER-503"/>
      <sheetName val="TRNG"/>
      <sheetName val="TRAVEL"/>
      <sheetName val="Transportation Travel"/>
      <sheetName val="PASS-THRU"/>
      <sheetName val="PASS-THRU-501"/>
      <sheetName val="PASS-THRU-502"/>
      <sheetName val="PASS-THRU-503"/>
      <sheetName val="CONSULTANT"/>
      <sheetName val="CONSULTANT-501"/>
      <sheetName val="CONSULTANT-502"/>
      <sheetName val="CONSULTANT-503"/>
      <sheetName val="EE SUM"/>
      <sheetName val="Sheet1"/>
      <sheetName val="EMPLOYEE (2)"/>
      <sheetName val="EMPLOYEE (3)"/>
      <sheetName val="EMPLOYEE"/>
      <sheetName val="Sheet2"/>
    </sheetNames>
    <sheetDataSet>
      <sheetData sheetId="0">
        <row r="10">
          <cell r="B10">
            <v>5918296.0905634779</v>
          </cell>
        </row>
        <row r="11">
          <cell r="B11">
            <v>2718361.2240048614</v>
          </cell>
        </row>
        <row r="13">
          <cell r="B13">
            <v>1050217.5294515102</v>
          </cell>
        </row>
        <row r="14">
          <cell r="B14">
            <v>9274750</v>
          </cell>
        </row>
        <row r="15">
          <cell r="B15">
            <v>7475000</v>
          </cell>
        </row>
        <row r="16">
          <cell r="B16">
            <v>114706</v>
          </cell>
        </row>
        <row r="17">
          <cell r="B17">
            <v>289786.08163098322</v>
          </cell>
        </row>
        <row r="18">
          <cell r="B18">
            <v>35000</v>
          </cell>
        </row>
        <row r="20">
          <cell r="B20">
            <v>1778030</v>
          </cell>
        </row>
        <row r="22">
          <cell r="B22">
            <v>830647.39798667456</v>
          </cell>
        </row>
        <row r="23">
          <cell r="B23">
            <v>869554.38914315263</v>
          </cell>
        </row>
        <row r="28">
          <cell r="B28">
            <v>695000</v>
          </cell>
        </row>
        <row r="30">
          <cell r="B30">
            <v>29254969.712780662</v>
          </cell>
        </row>
        <row r="32">
          <cell r="B32">
            <v>25000</v>
          </cell>
        </row>
        <row r="33">
          <cell r="B33">
            <v>379379</v>
          </cell>
        </row>
      </sheetData>
      <sheetData sheetId="1"/>
      <sheetData sheetId="2"/>
      <sheetData sheetId="3"/>
      <sheetData sheetId="4"/>
      <sheetData sheetId="5"/>
      <sheetData sheetId="6"/>
      <sheetData sheetId="7"/>
      <sheetData sheetId="8">
        <row r="9">
          <cell r="C9">
            <v>5000</v>
          </cell>
        </row>
        <row r="10">
          <cell r="C10">
            <v>4000</v>
          </cell>
        </row>
        <row r="11">
          <cell r="C11">
            <v>3000</v>
          </cell>
        </row>
        <row r="12">
          <cell r="C12">
            <v>750</v>
          </cell>
        </row>
        <row r="13">
          <cell r="C13">
            <v>1000</v>
          </cell>
        </row>
        <row r="14">
          <cell r="C14">
            <v>380000</v>
          </cell>
        </row>
        <row r="15">
          <cell r="C15">
            <v>0</v>
          </cell>
        </row>
        <row r="16">
          <cell r="C16">
            <v>43280</v>
          </cell>
        </row>
        <row r="17">
          <cell r="C17">
            <v>20000</v>
          </cell>
        </row>
        <row r="18">
          <cell r="C18">
            <v>4000</v>
          </cell>
        </row>
        <row r="19">
          <cell r="C19">
            <v>5000</v>
          </cell>
        </row>
        <row r="20">
          <cell r="C20">
            <v>500</v>
          </cell>
        </row>
        <row r="21">
          <cell r="C21">
            <v>15000</v>
          </cell>
        </row>
        <row r="22">
          <cell r="C22">
            <v>15000</v>
          </cell>
        </row>
        <row r="23">
          <cell r="C23">
            <v>1500</v>
          </cell>
        </row>
        <row r="24">
          <cell r="C24">
            <v>30000</v>
          </cell>
        </row>
        <row r="25">
          <cell r="C25">
            <v>1250000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URS"/>
      <sheetName val="Sheet1"/>
    </sheetNames>
    <sheetDataSet>
      <sheetData sheetId="0">
        <row r="14">
          <cell r="A14">
            <v>4910156.2946433332</v>
          </cell>
        </row>
        <row r="22">
          <cell r="A22">
            <v>4443846.483294161</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heetName val="BUDGET 201"/>
      <sheetName val="BUDGET 202"/>
      <sheetName val="BUDGET 203"/>
      <sheetName val="BUDGET 204"/>
      <sheetName val="EQUIP"/>
      <sheetName val="EQUIP 201"/>
      <sheetName val="EQUIP 202"/>
      <sheetName val="EQUIP 203"/>
      <sheetName val="EQUIP 204"/>
      <sheetName val="EQUIP 205"/>
      <sheetName val="OTHER"/>
      <sheetName val="OTHER 201"/>
      <sheetName val="OTHER 202"/>
      <sheetName val="OTHER 203"/>
      <sheetName val="OTHER 204"/>
      <sheetName val="OTHER 205"/>
      <sheetName val="TRNG"/>
      <sheetName val="TRNG 201"/>
      <sheetName val="TRNG 202"/>
      <sheetName val="TRNG 203"/>
      <sheetName val="TRNG 204"/>
      <sheetName val="TRNG 205"/>
      <sheetName val="TRAVEL"/>
      <sheetName val="PASS-THRU"/>
      <sheetName val="PASS-THRU 201"/>
      <sheetName val="PASS-THRU 202"/>
      <sheetName val="PASS-THRU 203"/>
      <sheetName val="PASS-THRU 204"/>
      <sheetName val="PASS-THRU 205"/>
      <sheetName val="CONSULTANT"/>
      <sheetName val="CONSULTANT 201"/>
      <sheetName val="CONSULTANT 202"/>
      <sheetName val="CONSULTANT 203"/>
      <sheetName val="CONSULTANT 204"/>
      <sheetName val="CONSULTANT 205"/>
      <sheetName val="EMPLOYEE (2)"/>
      <sheetName val="EMPLOYEE"/>
      <sheetName val="Sheet1"/>
      <sheetName val="EE SUM"/>
    </sheetNames>
    <sheetDataSet>
      <sheetData sheetId="0">
        <row r="10">
          <cell r="B10">
            <v>3512441.1024931096</v>
          </cell>
        </row>
        <row r="11">
          <cell r="B11">
            <v>1613615.4424853344</v>
          </cell>
        </row>
        <row r="13">
          <cell r="B13">
            <v>623328.47586937889</v>
          </cell>
        </row>
        <row r="14">
          <cell r="B14">
            <v>1864351</v>
          </cell>
        </row>
        <row r="15">
          <cell r="B15">
            <v>7492500</v>
          </cell>
        </row>
        <row r="16">
          <cell r="B16">
            <v>122629</v>
          </cell>
        </row>
        <row r="17">
          <cell r="B17">
            <v>195118.85382836027</v>
          </cell>
        </row>
        <row r="18">
          <cell r="B18">
            <v>100000</v>
          </cell>
        </row>
        <row r="19">
          <cell r="B19">
            <v>3695000</v>
          </cell>
        </row>
        <row r="20">
          <cell r="B20">
            <v>3330017</v>
          </cell>
        </row>
        <row r="23">
          <cell r="B23">
            <v>559382.91547050443</v>
          </cell>
        </row>
        <row r="24">
          <cell r="B24">
            <v>585589.62939210131</v>
          </cell>
        </row>
        <row r="29">
          <cell r="B29">
            <v>382436.1112525998</v>
          </cell>
        </row>
        <row r="30">
          <cell r="B30">
            <v>1538698.8233275029</v>
          </cell>
        </row>
        <row r="33">
          <cell r="B33">
            <v>6573911</v>
          </cell>
        </row>
        <row r="34">
          <cell r="B34">
            <v>5812713.7213178724</v>
          </cell>
        </row>
        <row r="35">
          <cell r="B35">
            <v>13974</v>
          </cell>
        </row>
        <row r="36">
          <cell r="B36">
            <v>3699618.49198623</v>
          </cell>
        </row>
        <row r="37">
          <cell r="B37">
            <v>3679362</v>
          </cell>
        </row>
        <row r="38">
          <cell r="B38">
            <v>1771620.2716545844</v>
          </cell>
        </row>
        <row r="43">
          <cell r="B43">
            <v>221639</v>
          </cell>
        </row>
      </sheetData>
      <sheetData sheetId="1"/>
      <sheetData sheetId="2"/>
      <sheetData sheetId="3"/>
      <sheetData sheetId="4"/>
      <sheetData sheetId="5"/>
      <sheetData sheetId="6"/>
      <sheetData sheetId="7"/>
      <sheetData sheetId="8"/>
      <sheetData sheetId="9"/>
      <sheetData sheetId="10"/>
      <sheetData sheetId="11">
        <row r="9">
          <cell r="C9">
            <v>2500</v>
          </cell>
        </row>
        <row r="10">
          <cell r="C10">
            <v>5050</v>
          </cell>
        </row>
        <row r="11">
          <cell r="C11">
            <v>0</v>
          </cell>
        </row>
        <row r="12">
          <cell r="C12">
            <v>2100</v>
          </cell>
        </row>
        <row r="13">
          <cell r="C13">
            <v>581818</v>
          </cell>
        </row>
        <row r="14">
          <cell r="C14">
            <v>123520</v>
          </cell>
        </row>
        <row r="15">
          <cell r="C15">
            <v>91128</v>
          </cell>
        </row>
        <row r="16">
          <cell r="C16">
            <v>1000</v>
          </cell>
        </row>
        <row r="17">
          <cell r="C17">
            <v>0</v>
          </cell>
        </row>
        <row r="18">
          <cell r="C18">
            <v>10650</v>
          </cell>
        </row>
        <row r="19">
          <cell r="C19">
            <v>2456519</v>
          </cell>
        </row>
        <row r="20">
          <cell r="C20">
            <v>3950</v>
          </cell>
        </row>
        <row r="21">
          <cell r="C21">
            <v>28992</v>
          </cell>
        </row>
        <row r="22">
          <cell r="C22">
            <v>7450</v>
          </cell>
        </row>
        <row r="23">
          <cell r="C23">
            <v>13340</v>
          </cell>
        </row>
        <row r="24">
          <cell r="C24">
            <v>2000</v>
          </cell>
        </row>
        <row r="25">
          <cell r="C25">
            <v>0</v>
          </cell>
        </row>
        <row r="27">
          <cell r="C27">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UDGET"/>
      <sheetName val="Sheet2"/>
      <sheetName val="BUDGET 401"/>
      <sheetName val="BUDGET 402"/>
      <sheetName val="EQUIP"/>
      <sheetName val="EQUIP 401"/>
      <sheetName val="EQUIP 402"/>
      <sheetName val="OTHER"/>
      <sheetName val="OTHER 401"/>
      <sheetName val="OTHER 402"/>
      <sheetName val="TRNG"/>
      <sheetName val="TRAVEL"/>
      <sheetName val="Sheet1"/>
      <sheetName val="PASS-THRU"/>
      <sheetName val="PASS-THRU 401"/>
      <sheetName val="PASS-THRU 402"/>
      <sheetName val="CONSULTANT"/>
      <sheetName val="CONSULTANT 401"/>
      <sheetName val="CONSULTANT 402"/>
      <sheetName val="Sheet3"/>
      <sheetName val="EMPLOYEE"/>
      <sheetName val="EE SUM"/>
    </sheetNames>
    <sheetDataSet>
      <sheetData sheetId="0">
        <row r="10">
          <cell r="C10">
            <v>8524173.2697133701</v>
          </cell>
          <cell r="D10">
            <v>2846296.719878722</v>
          </cell>
        </row>
        <row r="11">
          <cell r="C11">
            <v>3916005.2001063218</v>
          </cell>
          <cell r="D11">
            <v>1307588.7131122849</v>
          </cell>
        </row>
        <row r="13">
          <cell r="B13">
            <v>2019643.1705817808</v>
          </cell>
          <cell r="C13">
            <v>1514530.7019300745</v>
          </cell>
          <cell r="D13">
            <v>505112.46865170641</v>
          </cell>
        </row>
        <row r="14">
          <cell r="C14">
            <v>7394850</v>
          </cell>
          <cell r="D14">
            <v>104150</v>
          </cell>
        </row>
        <row r="15">
          <cell r="C15">
            <v>468217031.00999999</v>
          </cell>
          <cell r="D15">
            <v>12566466</v>
          </cell>
        </row>
        <row r="16">
          <cell r="C16">
            <v>268000</v>
          </cell>
          <cell r="D16">
            <v>110056</v>
          </cell>
        </row>
        <row r="17">
          <cell r="C17">
            <v>652705.18118007318</v>
          </cell>
          <cell r="D17">
            <v>210028.19205545029</v>
          </cell>
        </row>
        <row r="18">
          <cell r="C18">
            <v>140000.00333333333</v>
          </cell>
          <cell r="D18">
            <v>22075.34</v>
          </cell>
        </row>
        <row r="20">
          <cell r="C20">
            <v>859800</v>
          </cell>
          <cell r="D20">
            <v>154055</v>
          </cell>
        </row>
        <row r="23">
          <cell r="C23">
            <v>1268977.063013687</v>
          </cell>
          <cell r="D23">
            <v>602027.67497495341</v>
          </cell>
        </row>
        <row r="24">
          <cell r="C24">
            <v>1327566.1924237504</v>
          </cell>
          <cell r="D24">
            <v>630226.73558967572</v>
          </cell>
        </row>
        <row r="29">
          <cell r="B29">
            <v>15378551.84426279</v>
          </cell>
        </row>
        <row r="30">
          <cell r="B30">
            <v>493783638.62170058</v>
          </cell>
        </row>
        <row r="31">
          <cell r="B31">
            <v>100000</v>
          </cell>
        </row>
        <row r="32">
          <cell r="C32">
            <v>200000</v>
          </cell>
        </row>
        <row r="33">
          <cell r="D33">
            <v>3368925</v>
          </cell>
        </row>
        <row r="34">
          <cell r="D34">
            <v>310606</v>
          </cell>
        </row>
      </sheetData>
      <sheetData sheetId="1"/>
      <sheetData sheetId="2"/>
      <sheetData sheetId="3"/>
      <sheetData sheetId="4"/>
      <sheetData sheetId="5"/>
      <sheetData sheetId="6"/>
      <sheetData sheetId="7">
        <row r="9">
          <cell r="D9">
            <v>38000</v>
          </cell>
          <cell r="E9">
            <v>7510</v>
          </cell>
        </row>
        <row r="10">
          <cell r="D10">
            <v>24000</v>
          </cell>
          <cell r="E10">
            <v>29850</v>
          </cell>
        </row>
        <row r="11">
          <cell r="D11">
            <v>80000</v>
          </cell>
          <cell r="E11">
            <v>5000</v>
          </cell>
        </row>
        <row r="12">
          <cell r="D12">
            <v>1500</v>
          </cell>
          <cell r="E12">
            <v>0</v>
          </cell>
        </row>
        <row r="13">
          <cell r="D13">
            <v>6000</v>
          </cell>
          <cell r="E13">
            <v>11050</v>
          </cell>
        </row>
        <row r="14">
          <cell r="D14">
            <v>156700</v>
          </cell>
          <cell r="E14">
            <v>14280</v>
          </cell>
        </row>
        <row r="15">
          <cell r="D15">
            <v>196000</v>
          </cell>
          <cell r="E15">
            <v>25490</v>
          </cell>
        </row>
        <row r="16">
          <cell r="D16">
            <v>0</v>
          </cell>
          <cell r="E16">
            <v>0</v>
          </cell>
        </row>
        <row r="17">
          <cell r="D17">
            <v>20000</v>
          </cell>
          <cell r="E17">
            <v>23000</v>
          </cell>
        </row>
        <row r="18">
          <cell r="D18">
            <v>800</v>
          </cell>
          <cell r="E18">
            <v>870</v>
          </cell>
        </row>
        <row r="19">
          <cell r="D19">
            <v>227000</v>
          </cell>
          <cell r="E19">
            <v>29160</v>
          </cell>
        </row>
        <row r="20">
          <cell r="D20">
            <v>12800</v>
          </cell>
          <cell r="E20">
            <v>130</v>
          </cell>
        </row>
        <row r="21">
          <cell r="D21">
            <v>75000</v>
          </cell>
          <cell r="E21">
            <v>4645</v>
          </cell>
        </row>
        <row r="22">
          <cell r="D22">
            <v>12000</v>
          </cell>
          <cell r="E22">
            <v>2900</v>
          </cell>
        </row>
        <row r="23">
          <cell r="D23">
            <v>0</v>
          </cell>
          <cell r="E23">
            <v>170</v>
          </cell>
        </row>
        <row r="24">
          <cell r="D24">
            <v>10000</v>
          </cell>
          <cell r="E24">
            <v>0</v>
          </cell>
        </row>
        <row r="26">
          <cell r="D26">
            <v>0</v>
          </cell>
          <cell r="E26">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UDGET"/>
      <sheetName val="BUDGET 703"/>
      <sheetName val="EQUIP"/>
      <sheetName val="EQUIP 703"/>
      <sheetName val="OTHER"/>
      <sheetName val="OTHER 703"/>
      <sheetName val="TRNG"/>
      <sheetName val="TRNG 703"/>
      <sheetName val="TRAVEL"/>
      <sheetName val="PASS-THRU"/>
      <sheetName val="EE SUM"/>
      <sheetName val="CONSULTANT"/>
      <sheetName val="CONSULTANT 703"/>
      <sheetName val="EMPLOYEE (2)"/>
      <sheetName val="EMPLOYEE (3)"/>
      <sheetName val="EMPLOYEE"/>
    </sheetNames>
    <sheetDataSet>
      <sheetData sheetId="0">
        <row r="10">
          <cell r="C10">
            <v>599976.68971605145</v>
          </cell>
          <cell r="D10">
            <v>181821.4339641149</v>
          </cell>
          <cell r="E10">
            <v>2358518.3333992898</v>
          </cell>
          <cell r="F10">
            <v>300495.81792579062</v>
          </cell>
          <cell r="G10">
            <v>134621.83101549692</v>
          </cell>
        </row>
        <row r="11">
          <cell r="C11">
            <v>275629.29125555401</v>
          </cell>
          <cell r="D11">
            <v>83528.766763114385</v>
          </cell>
          <cell r="E11">
            <v>1083503.3223636337</v>
          </cell>
          <cell r="F11">
            <v>138047.77875510821</v>
          </cell>
          <cell r="G11">
            <v>61845.269168519284</v>
          </cell>
        </row>
        <row r="13">
          <cell r="B13">
            <v>634507.4057741235</v>
          </cell>
          <cell r="C13">
            <v>106473.68728614724</v>
          </cell>
          <cell r="D13">
            <v>32266.584408431081</v>
          </cell>
          <cell r="E13">
            <v>418549.8333407715</v>
          </cell>
          <cell r="F13">
            <v>53326.901356397291</v>
          </cell>
          <cell r="G13">
            <v>23890.399382376374</v>
          </cell>
        </row>
        <row r="14">
          <cell r="E14">
            <v>2380000</v>
          </cell>
          <cell r="F14">
            <v>0</v>
          </cell>
          <cell r="G14">
            <v>763050</v>
          </cell>
        </row>
        <row r="16">
          <cell r="C16">
            <v>0</v>
          </cell>
          <cell r="D16">
            <v>0</v>
          </cell>
          <cell r="E16">
            <v>54050</v>
          </cell>
          <cell r="F16">
            <v>20475</v>
          </cell>
          <cell r="G16">
            <v>7500</v>
          </cell>
        </row>
        <row r="17">
          <cell r="C17">
            <v>32907.589101610283</v>
          </cell>
          <cell r="D17">
            <v>9960.8806025101767</v>
          </cell>
          <cell r="E17">
            <v>140708.42394667375</v>
          </cell>
          <cell r="F17">
            <v>19625.384254808381</v>
          </cell>
          <cell r="G17">
            <v>7894.9171993500613</v>
          </cell>
        </row>
        <row r="18">
          <cell r="C18">
            <v>0</v>
          </cell>
          <cell r="D18">
            <v>0</v>
          </cell>
          <cell r="E18">
            <v>50460</v>
          </cell>
          <cell r="F18">
            <v>9730</v>
          </cell>
          <cell r="G18">
            <v>0</v>
          </cell>
        </row>
        <row r="20">
          <cell r="C20">
            <v>0</v>
          </cell>
          <cell r="D20">
            <v>0</v>
          </cell>
          <cell r="E20">
            <v>330165</v>
          </cell>
          <cell r="F20">
            <v>203540</v>
          </cell>
          <cell r="G20">
            <v>36315</v>
          </cell>
        </row>
        <row r="23">
          <cell r="C23">
            <v>94326.905654225775</v>
          </cell>
          <cell r="D23">
            <v>28551.956621940059</v>
          </cell>
          <cell r="E23">
            <v>403328.87603683921</v>
          </cell>
          <cell r="G23">
            <v>22630.060775233665</v>
          </cell>
        </row>
        <row r="24">
          <cell r="C24">
            <v>98745.041095048786</v>
          </cell>
          <cell r="D24">
            <v>29889.383916903575</v>
          </cell>
          <cell r="E24">
            <v>422220.51157050434</v>
          </cell>
          <cell r="F24">
            <v>58889.436377833837</v>
          </cell>
          <cell r="G24">
            <v>23690.09534197938</v>
          </cell>
        </row>
        <row r="26">
          <cell r="F26">
            <v>804130.31866993837</v>
          </cell>
        </row>
        <row r="30">
          <cell r="B30">
            <v>66408.378973254294</v>
          </cell>
        </row>
        <row r="31">
          <cell r="B31">
            <v>200549.50359361188</v>
          </cell>
        </row>
        <row r="32">
          <cell r="B32">
            <v>8072402.0885663014</v>
          </cell>
        </row>
        <row r="33">
          <cell r="B33">
            <v>1081437.5728829557</v>
          </cell>
        </row>
        <row r="34">
          <cell r="B34">
            <v>4228.2072143802325</v>
          </cell>
        </row>
        <row r="35">
          <cell r="B35">
            <v>224215.78828256318</v>
          </cell>
        </row>
        <row r="36">
          <cell r="B36">
            <v>56053.947070640796</v>
          </cell>
        </row>
        <row r="37">
          <cell r="B37">
            <v>561724.5973426135</v>
          </cell>
        </row>
        <row r="38">
          <cell r="B38">
            <v>30000</v>
          </cell>
        </row>
      </sheetData>
      <sheetData sheetId="1"/>
      <sheetData sheetId="2"/>
      <sheetData sheetId="3"/>
      <sheetData sheetId="4">
        <row r="9">
          <cell r="D9"/>
          <cell r="E9"/>
          <cell r="F9">
            <v>2000</v>
          </cell>
          <cell r="G9">
            <v>200</v>
          </cell>
          <cell r="H9"/>
        </row>
        <row r="10">
          <cell r="D10"/>
          <cell r="E10"/>
          <cell r="F10">
            <v>2000</v>
          </cell>
          <cell r="G10">
            <v>200</v>
          </cell>
          <cell r="H10"/>
        </row>
        <row r="11">
          <cell r="D11"/>
          <cell r="E11"/>
          <cell r="F11">
            <v>500</v>
          </cell>
          <cell r="G11">
            <v>100</v>
          </cell>
          <cell r="H11"/>
        </row>
        <row r="12">
          <cell r="D12"/>
          <cell r="E12"/>
          <cell r="F12">
            <v>1000</v>
          </cell>
          <cell r="G12">
            <v>200</v>
          </cell>
          <cell r="H12"/>
        </row>
        <row r="13">
          <cell r="D13"/>
          <cell r="E13"/>
          <cell r="F13">
            <v>600</v>
          </cell>
          <cell r="G13">
            <v>200</v>
          </cell>
          <cell r="H13"/>
        </row>
        <row r="14">
          <cell r="D14"/>
          <cell r="E14"/>
          <cell r="F14">
            <v>272075</v>
          </cell>
          <cell r="G14">
            <v>183040</v>
          </cell>
          <cell r="H14">
            <v>3000</v>
          </cell>
        </row>
        <row r="15">
          <cell r="D15"/>
          <cell r="E15"/>
          <cell r="F15">
            <v>31290</v>
          </cell>
          <cell r="G15">
            <v>13700</v>
          </cell>
          <cell r="H15">
            <v>9315</v>
          </cell>
        </row>
        <row r="16">
          <cell r="D16"/>
          <cell r="E16"/>
          <cell r="F16">
            <v>2000</v>
          </cell>
          <cell r="G16">
            <v>5000</v>
          </cell>
          <cell r="H16"/>
        </row>
        <row r="17">
          <cell r="D17"/>
          <cell r="E17"/>
          <cell r="F17">
            <v>1500</v>
          </cell>
          <cell r="G17"/>
          <cell r="H17"/>
        </row>
        <row r="18">
          <cell r="D18"/>
          <cell r="E18"/>
          <cell r="F18">
            <v>0</v>
          </cell>
          <cell r="G18"/>
          <cell r="H18"/>
        </row>
        <row r="19">
          <cell r="D19"/>
          <cell r="E19"/>
          <cell r="F19">
            <v>0</v>
          </cell>
          <cell r="G19"/>
          <cell r="H19"/>
        </row>
        <row r="20">
          <cell r="D20"/>
          <cell r="E20"/>
          <cell r="F20">
            <v>200</v>
          </cell>
          <cell r="G20"/>
          <cell r="H20"/>
        </row>
        <row r="21">
          <cell r="D21"/>
          <cell r="E21"/>
          <cell r="F21">
            <v>17000</v>
          </cell>
          <cell r="G21">
            <v>500</v>
          </cell>
          <cell r="H21"/>
        </row>
        <row r="22">
          <cell r="D22"/>
          <cell r="E22"/>
          <cell r="F22">
            <v>0</v>
          </cell>
          <cell r="G22"/>
          <cell r="H22">
            <v>24000</v>
          </cell>
        </row>
        <row r="23">
          <cell r="D23">
            <v>0</v>
          </cell>
          <cell r="E23"/>
          <cell r="F23">
            <v>0</v>
          </cell>
          <cell r="G23"/>
          <cell r="H23"/>
        </row>
        <row r="24">
          <cell r="D24"/>
          <cell r="E24"/>
          <cell r="F24">
            <v>0</v>
          </cell>
          <cell r="G24">
            <v>400</v>
          </cell>
          <cell r="H24"/>
        </row>
        <row r="25">
          <cell r="D25">
            <v>0</v>
          </cell>
          <cell r="E25"/>
          <cell r="F25">
            <v>0</v>
          </cell>
          <cell r="H25"/>
        </row>
        <row r="27">
          <cell r="D27">
            <v>0</v>
          </cell>
          <cell r="E27"/>
          <cell r="F27">
            <v>0</v>
          </cell>
          <cell r="G27"/>
          <cell r="H27"/>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UDGET"/>
      <sheetName val="EQUIP"/>
      <sheetName val="CONSULTANT"/>
      <sheetName val="OTHER"/>
      <sheetName val="Software"/>
      <sheetName val="EMPLOYEE (2)"/>
      <sheetName val="EMPLOYEE (3)"/>
      <sheetName val="EMPLOYEE (4)"/>
      <sheetName val="EMPLOYEE"/>
      <sheetName val="Sheet1"/>
      <sheetName val="TRNG"/>
      <sheetName val="TRAVEL"/>
      <sheetName val="EE SUM"/>
      <sheetName val=" Communication"/>
      <sheetName val="Email Edits"/>
      <sheetName val="Sheet2"/>
    </sheetNames>
    <sheetDataSet>
      <sheetData sheetId="0">
        <row r="12">
          <cell r="C12">
            <v>349423.60347446171</v>
          </cell>
          <cell r="D12">
            <v>1277975.14382987</v>
          </cell>
        </row>
        <row r="13">
          <cell r="C13">
            <v>160525.20343616771</v>
          </cell>
          <cell r="D13">
            <v>587101.78107544221</v>
          </cell>
        </row>
        <row r="15">
          <cell r="B15">
            <v>288803.1289888185</v>
          </cell>
          <cell r="C15">
            <v>62009.774920332537</v>
          </cell>
          <cell r="D15">
            <v>226793.35406848596</v>
          </cell>
        </row>
        <row r="16">
          <cell r="C16">
            <v>26044</v>
          </cell>
          <cell r="D16">
            <v>265665</v>
          </cell>
        </row>
        <row r="18">
          <cell r="D18">
            <v>12100</v>
          </cell>
        </row>
        <row r="19">
          <cell r="C19">
            <v>19921.733153103294</v>
          </cell>
          <cell r="D19">
            <v>66405.769580758992</v>
          </cell>
        </row>
        <row r="20">
          <cell r="D20">
            <v>5000</v>
          </cell>
        </row>
        <row r="22">
          <cell r="C22">
            <v>1325535.1000000001</v>
          </cell>
          <cell r="D22">
            <v>999412.86</v>
          </cell>
        </row>
        <row r="25">
          <cell r="C25">
            <v>57103.832835615918</v>
          </cell>
        </row>
        <row r="26">
          <cell r="C26">
            <v>59778.683659068774</v>
          </cell>
          <cell r="D26">
            <v>199262.25606966508</v>
          </cell>
        </row>
        <row r="28">
          <cell r="D28">
            <v>3639716.1646242226</v>
          </cell>
        </row>
        <row r="32">
          <cell r="B32">
            <v>2060341.9314787497</v>
          </cell>
        </row>
      </sheetData>
      <sheetData sheetId="1"/>
      <sheetData sheetId="2"/>
      <sheetData sheetId="3">
        <row r="8">
          <cell r="D8"/>
          <cell r="E8">
            <v>4000</v>
          </cell>
        </row>
        <row r="9">
          <cell r="D9"/>
          <cell r="E9"/>
        </row>
        <row r="10">
          <cell r="D10"/>
          <cell r="E10"/>
        </row>
        <row r="11">
          <cell r="D11"/>
          <cell r="E11"/>
        </row>
        <row r="12">
          <cell r="D12">
            <v>9500</v>
          </cell>
          <cell r="E12">
            <v>21600</v>
          </cell>
        </row>
        <row r="13">
          <cell r="D13">
            <v>1066035.1000000001</v>
          </cell>
          <cell r="E13">
            <v>825962.86</v>
          </cell>
        </row>
        <row r="14">
          <cell r="D14"/>
          <cell r="E14">
            <v>15500</v>
          </cell>
        </row>
        <row r="15">
          <cell r="D15"/>
        </row>
        <row r="16">
          <cell r="D16"/>
        </row>
        <row r="17">
          <cell r="D17"/>
        </row>
        <row r="18">
          <cell r="D18">
            <v>250000</v>
          </cell>
          <cell r="E18">
            <v>31850</v>
          </cell>
        </row>
        <row r="19">
          <cell r="D19"/>
        </row>
        <row r="22">
          <cell r="D22"/>
        </row>
        <row r="23">
          <cell r="D23"/>
        </row>
        <row r="24">
          <cell r="D24"/>
          <cell r="E24">
            <v>500</v>
          </cell>
        </row>
        <row r="26">
          <cell r="D26"/>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UDGET"/>
      <sheetName val="BUDGET 301"/>
      <sheetName val="BUDGET 303"/>
      <sheetName val="EQUIP"/>
      <sheetName val="EQUIP 301"/>
      <sheetName val="EQUIP 302"/>
      <sheetName val="EQUIP 303"/>
      <sheetName val="OTHER"/>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OTHER 301"/>
      <sheetName val="Sheet17"/>
      <sheetName val="Sheet18"/>
      <sheetName val="OTHER 302"/>
      <sheetName val="OTHER 303"/>
      <sheetName val="TRNG"/>
      <sheetName val="TRNG 301"/>
      <sheetName val="TRNG 302"/>
      <sheetName val="TRNG 303"/>
      <sheetName val="TRAVEL"/>
      <sheetName val="TRAVEL 301"/>
      <sheetName val="TRAVEL 302"/>
      <sheetName val="TRAVEL 303"/>
      <sheetName val="PASS-THRU"/>
      <sheetName val="PASS-THRU 301"/>
      <sheetName val="PASS-THRU302"/>
      <sheetName val="PASS-THRU 303"/>
      <sheetName val="CONSULTANT"/>
      <sheetName val="CONSULTANT 301"/>
      <sheetName val="CONSULTANT 302"/>
      <sheetName val="CONSULTANT 303"/>
      <sheetName val="EMPLOYEE (2)"/>
      <sheetName val="EMPLOYEE (3)"/>
      <sheetName val="EMPLOYEE"/>
      <sheetName val="EE SUM"/>
      <sheetName val="ESRI_MAPINFO_SHEET"/>
    </sheetNames>
    <sheetDataSet>
      <sheetData sheetId="0">
        <row r="10">
          <cell r="B10">
            <v>3385068.6493277634</v>
          </cell>
        </row>
        <row r="11">
          <cell r="B11">
            <v>1555100.5375011745</v>
          </cell>
        </row>
        <row r="13">
          <cell r="B13">
            <v>600724.5731183989</v>
          </cell>
        </row>
        <row r="14">
          <cell r="B14">
            <v>488000</v>
          </cell>
        </row>
        <row r="15">
          <cell r="B15">
            <v>5112100</v>
          </cell>
        </row>
        <row r="16">
          <cell r="B16">
            <v>108000</v>
          </cell>
        </row>
        <row r="17">
          <cell r="B17">
            <v>201288.88298399909</v>
          </cell>
        </row>
        <row r="18">
          <cell r="B18">
            <v>42200</v>
          </cell>
        </row>
        <row r="20">
          <cell r="B20">
            <v>520200</v>
          </cell>
        </row>
        <row r="23">
          <cell r="B23">
            <v>577064.73715417704</v>
          </cell>
        </row>
        <row r="24">
          <cell r="B24">
            <v>604101.09584660991</v>
          </cell>
        </row>
        <row r="30">
          <cell r="B30">
            <v>706451</v>
          </cell>
        </row>
        <row r="31">
          <cell r="B31">
            <v>5302906.7281089621</v>
          </cell>
        </row>
        <row r="32">
          <cell r="B32">
            <v>43245</v>
          </cell>
        </row>
        <row r="33">
          <cell r="B33">
            <v>40620</v>
          </cell>
        </row>
        <row r="34">
          <cell r="B34">
            <v>41000</v>
          </cell>
        </row>
        <row r="35">
          <cell r="B35">
            <v>70000</v>
          </cell>
        </row>
        <row r="36">
          <cell r="B36">
            <v>100000</v>
          </cell>
        </row>
        <row r="37">
          <cell r="B37">
            <v>6759626</v>
          </cell>
        </row>
        <row r="38">
          <cell r="B38">
            <v>130000</v>
          </cell>
        </row>
        <row r="39">
          <cell r="B39">
            <v>0</v>
          </cell>
        </row>
        <row r="40">
          <cell r="B40">
            <v>0</v>
          </cell>
        </row>
        <row r="42">
          <cell r="D42">
            <v>1023316</v>
          </cell>
          <cell r="E42">
            <v>5280906.7281089621</v>
          </cell>
        </row>
      </sheetData>
      <sheetData sheetId="1"/>
      <sheetData sheetId="2"/>
      <sheetData sheetId="3"/>
      <sheetData sheetId="4"/>
      <sheetData sheetId="5"/>
      <sheetData sheetId="6"/>
      <sheetData sheetId="7">
        <row r="9">
          <cell r="C9">
            <v>3250</v>
          </cell>
        </row>
        <row r="10">
          <cell r="C10">
            <v>14000</v>
          </cell>
        </row>
        <row r="11">
          <cell r="C11">
            <v>12500</v>
          </cell>
        </row>
        <row r="12">
          <cell r="C12">
            <v>2200</v>
          </cell>
        </row>
        <row r="13">
          <cell r="C13">
            <v>1350</v>
          </cell>
        </row>
        <row r="14">
          <cell r="C14">
            <v>73000</v>
          </cell>
        </row>
        <row r="15">
          <cell r="C15">
            <v>40500</v>
          </cell>
        </row>
        <row r="16">
          <cell r="C16">
            <v>265000</v>
          </cell>
        </row>
        <row r="17">
          <cell r="C17">
            <v>4000</v>
          </cell>
        </row>
        <row r="18">
          <cell r="C18">
            <v>14500</v>
          </cell>
        </row>
        <row r="19">
          <cell r="C19">
            <v>23500</v>
          </cell>
        </row>
        <row r="20">
          <cell r="C20">
            <v>28000</v>
          </cell>
        </row>
        <row r="21">
          <cell r="C21">
            <v>21400</v>
          </cell>
        </row>
        <row r="23">
          <cell r="C23">
            <v>12000</v>
          </cell>
        </row>
        <row r="24">
          <cell r="C24">
            <v>5000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UDGET"/>
      <sheetName val="EQUIP"/>
      <sheetName val="EQUIP 102 BACKUP"/>
      <sheetName val="EQUIP 101 BACKUP"/>
      <sheetName val="CONSULTANT"/>
      <sheetName val="CONSULTANT 102 BACKUP"/>
      <sheetName val="CONSULTANT 104"/>
      <sheetName val="TRNG"/>
      <sheetName val="TRNG 102 BACKUP"/>
      <sheetName val="TRNG 101 BACKUP"/>
      <sheetName val="TRAVEL"/>
      <sheetName val="TRAVEL102 BACKUP"/>
      <sheetName val="TRAVEL 101 BACKUP"/>
      <sheetName val="EMPLOYEE (2)"/>
      <sheetName val="EMPLOYEE (3)"/>
      <sheetName val="EMPLOYEE (4)"/>
      <sheetName val="EMPLOYEE"/>
      <sheetName val="106 LOCALWORKSHOP BACKUP"/>
      <sheetName val="Sheet2"/>
      <sheetName val="EE SUM"/>
      <sheetName val="Administration"/>
      <sheetName val="OTHER"/>
      <sheetName val="Fin&amp;Gen Backup "/>
      <sheetName val="Notes 2025"/>
      <sheetName val="Sheet1"/>
    </sheetNames>
    <sheetDataSet>
      <sheetData sheetId="0">
        <row r="10">
          <cell r="C10">
            <v>443458.1680455709</v>
          </cell>
          <cell r="D10">
            <v>970033.36384233751</v>
          </cell>
          <cell r="E10">
            <v>1198177.242686372</v>
          </cell>
          <cell r="F10">
            <v>1939737.1659250606</v>
          </cell>
          <cell r="G10">
            <v>268287.73927632492</v>
          </cell>
          <cell r="H10">
            <v>0</v>
          </cell>
          <cell r="I10">
            <v>339231.80917618732</v>
          </cell>
          <cell r="J10">
            <v>449479.49715844821</v>
          </cell>
        </row>
        <row r="11">
          <cell r="C11">
            <v>203724.68240013527</v>
          </cell>
          <cell r="D11">
            <v>445633.32734916982</v>
          </cell>
          <cell r="E11">
            <v>550442.62529011932</v>
          </cell>
          <cell r="F11">
            <v>891115.2540259728</v>
          </cell>
          <cell r="G11">
            <v>123251.38742354367</v>
          </cell>
          <cell r="H11">
            <v>0</v>
          </cell>
          <cell r="I11">
            <v>155843.09313554046</v>
          </cell>
          <cell r="J11">
            <v>206490.88099459111</v>
          </cell>
        </row>
        <row r="13">
          <cell r="F13">
            <v>344231.65426604566</v>
          </cell>
        </row>
        <row r="14">
          <cell r="C14">
            <v>0</v>
          </cell>
          <cell r="D14">
            <v>99000</v>
          </cell>
          <cell r="E14">
            <v>5000</v>
          </cell>
          <cell r="F14">
            <v>336980</v>
          </cell>
          <cell r="G14">
            <v>20000</v>
          </cell>
          <cell r="H14">
            <v>6000</v>
          </cell>
          <cell r="I14">
            <v>400000</v>
          </cell>
          <cell r="J14">
            <v>0</v>
          </cell>
        </row>
        <row r="16">
          <cell r="C16">
            <v>2000</v>
          </cell>
          <cell r="D16">
            <v>18500</v>
          </cell>
          <cell r="E16">
            <v>35000</v>
          </cell>
          <cell r="F16">
            <v>14200</v>
          </cell>
          <cell r="G16">
            <v>0</v>
          </cell>
          <cell r="H16">
            <v>3000</v>
          </cell>
          <cell r="I16">
            <v>9654</v>
          </cell>
          <cell r="J16">
            <v>0</v>
          </cell>
        </row>
        <row r="17">
          <cell r="C17">
            <v>13281.155435402194</v>
          </cell>
          <cell r="D17">
            <v>56215.224735870608</v>
          </cell>
          <cell r="E17">
            <v>61401.549095369621</v>
          </cell>
          <cell r="F17">
            <v>110012.22042625443</v>
          </cell>
          <cell r="G17">
            <v>11067.629529501828</v>
          </cell>
          <cell r="H17">
            <v>0</v>
          </cell>
          <cell r="I17">
            <v>19699.648415025084</v>
          </cell>
          <cell r="J17">
            <v>0</v>
          </cell>
        </row>
        <row r="18">
          <cell r="C18">
            <v>5000</v>
          </cell>
          <cell r="D18">
            <v>11500</v>
          </cell>
          <cell r="E18">
            <v>14000</v>
          </cell>
          <cell r="F18">
            <v>17600</v>
          </cell>
          <cell r="G18">
            <v>0</v>
          </cell>
          <cell r="H18">
            <v>0</v>
          </cell>
          <cell r="I18">
            <v>10269</v>
          </cell>
          <cell r="J18">
            <v>0</v>
          </cell>
        </row>
        <row r="19">
          <cell r="F19">
            <v>625000</v>
          </cell>
        </row>
        <row r="20">
          <cell r="C20">
            <v>202761</v>
          </cell>
          <cell r="D20">
            <v>798460</v>
          </cell>
          <cell r="E20">
            <v>121465</v>
          </cell>
          <cell r="F20">
            <v>631280</v>
          </cell>
          <cell r="G20">
            <v>24500</v>
          </cell>
          <cell r="H20">
            <v>341308</v>
          </cell>
          <cell r="I20">
            <v>5101</v>
          </cell>
          <cell r="J20">
            <v>0</v>
          </cell>
        </row>
        <row r="22">
          <cell r="C22">
            <v>870225.00588110834</v>
          </cell>
          <cell r="D22">
            <v>2399341.915927378</v>
          </cell>
          <cell r="E22">
            <v>1985486.417071861</v>
          </cell>
          <cell r="F22">
            <v>4910156.2946433332</v>
          </cell>
          <cell r="G22">
            <v>447106.75622937042</v>
          </cell>
        </row>
        <row r="28">
          <cell r="B28">
            <v>28175</v>
          </cell>
        </row>
        <row r="29">
          <cell r="B29">
            <v>90865</v>
          </cell>
        </row>
      </sheetData>
      <sheetData sheetId="1"/>
      <sheetData sheetId="2"/>
      <sheetData sheetId="3"/>
      <sheetData sheetId="4">
        <row r="7">
          <cell r="E7">
            <v>0</v>
          </cell>
          <cell r="F7"/>
        </row>
        <row r="8">
          <cell r="E8">
            <v>69000</v>
          </cell>
          <cell r="F8"/>
        </row>
        <row r="15">
          <cell r="F15">
            <v>5000</v>
          </cell>
          <cell r="H15">
            <v>20000</v>
          </cell>
        </row>
        <row r="27">
          <cell r="E27">
            <v>30000</v>
          </cell>
        </row>
      </sheetData>
      <sheetData sheetId="5"/>
      <sheetData sheetId="6"/>
      <sheetData sheetId="7"/>
      <sheetData sheetId="8"/>
      <sheetData sheetId="9"/>
      <sheetData sheetId="10"/>
      <sheetData sheetId="11"/>
      <sheetData sheetId="12"/>
      <sheetData sheetId="13"/>
      <sheetData sheetId="14"/>
      <sheetData sheetId="15"/>
      <sheetData sheetId="16"/>
      <sheetData sheetId="17">
        <row r="8">
          <cell r="C8">
            <v>2500</v>
          </cell>
        </row>
        <row r="11">
          <cell r="C11">
            <v>3500</v>
          </cell>
        </row>
        <row r="14">
          <cell r="C14">
            <v>0</v>
          </cell>
        </row>
        <row r="23">
          <cell r="C23">
            <v>10000</v>
          </cell>
        </row>
        <row r="27">
          <cell r="C27">
            <v>1300</v>
          </cell>
        </row>
        <row r="29">
          <cell r="C29">
            <v>150</v>
          </cell>
        </row>
        <row r="30">
          <cell r="C30">
            <v>20000</v>
          </cell>
        </row>
      </sheetData>
      <sheetData sheetId="18"/>
      <sheetData sheetId="19">
        <row r="15">
          <cell r="J15">
            <v>60201.108121106095</v>
          </cell>
          <cell r="K15">
            <v>79765.997983409587</v>
          </cell>
        </row>
      </sheetData>
      <sheetData sheetId="20"/>
      <sheetData sheetId="21">
        <row r="9">
          <cell r="D9">
            <v>4961</v>
          </cell>
          <cell r="E9">
            <v>2000</v>
          </cell>
          <cell r="F9">
            <v>2000</v>
          </cell>
          <cell r="G9">
            <v>22500</v>
          </cell>
          <cell r="I9">
            <v>200</v>
          </cell>
          <cell r="J9">
            <v>100</v>
          </cell>
        </row>
        <row r="10">
          <cell r="D10">
            <v>3000</v>
          </cell>
          <cell r="E10">
            <v>2000</v>
          </cell>
          <cell r="F10">
            <v>1000</v>
          </cell>
          <cell r="G10">
            <v>2500</v>
          </cell>
          <cell r="I10">
            <v>219000</v>
          </cell>
          <cell r="J10"/>
        </row>
        <row r="11">
          <cell r="D11"/>
          <cell r="E11">
            <v>0</v>
          </cell>
          <cell r="F11">
            <v>8000</v>
          </cell>
          <cell r="G11">
            <v>0</v>
          </cell>
          <cell r="I11">
            <v>0</v>
          </cell>
          <cell r="J11"/>
        </row>
        <row r="12">
          <cell r="D12">
            <v>0</v>
          </cell>
          <cell r="E12">
            <v>750</v>
          </cell>
          <cell r="F12">
            <v>400</v>
          </cell>
          <cell r="G12">
            <v>1500</v>
          </cell>
          <cell r="I12">
            <v>0</v>
          </cell>
          <cell r="J12"/>
        </row>
        <row r="13">
          <cell r="D13"/>
          <cell r="E13">
            <v>300</v>
          </cell>
          <cell r="F13"/>
          <cell r="G13">
            <v>15000</v>
          </cell>
          <cell r="I13">
            <v>0</v>
          </cell>
          <cell r="M13">
            <v>300</v>
          </cell>
        </row>
        <row r="14">
          <cell r="D14">
            <v>20000</v>
          </cell>
          <cell r="E14">
            <v>117010</v>
          </cell>
          <cell r="F14">
            <v>15000</v>
          </cell>
          <cell r="G14">
            <v>386480</v>
          </cell>
          <cell r="H14">
            <v>500</v>
          </cell>
          <cell r="I14">
            <v>0</v>
          </cell>
          <cell r="J14"/>
        </row>
        <row r="15">
          <cell r="D15">
            <v>45000</v>
          </cell>
          <cell r="E15">
            <v>14500</v>
          </cell>
          <cell r="F15">
            <v>50000</v>
          </cell>
          <cell r="G15">
            <v>52900</v>
          </cell>
          <cell r="H15">
            <v>19000</v>
          </cell>
          <cell r="I15">
            <v>20000</v>
          </cell>
          <cell r="J15">
            <v>5001</v>
          </cell>
        </row>
        <row r="16">
          <cell r="D16">
            <v>0</v>
          </cell>
          <cell r="E16">
            <v>0</v>
          </cell>
          <cell r="F16">
            <v>5000</v>
          </cell>
          <cell r="G16">
            <v>0</v>
          </cell>
          <cell r="I16">
            <v>10000</v>
          </cell>
          <cell r="J16"/>
        </row>
        <row r="17">
          <cell r="D17">
            <v>0</v>
          </cell>
          <cell r="E17">
            <v>500</v>
          </cell>
          <cell r="F17">
            <v>300</v>
          </cell>
          <cell r="G17">
            <v>37800</v>
          </cell>
          <cell r="I17">
            <v>0</v>
          </cell>
          <cell r="J17"/>
        </row>
        <row r="18">
          <cell r="D18">
            <v>600</v>
          </cell>
          <cell r="E18">
            <v>2000</v>
          </cell>
          <cell r="F18"/>
          <cell r="G18">
            <v>0</v>
          </cell>
          <cell r="I18">
            <v>0</v>
          </cell>
          <cell r="J18"/>
        </row>
        <row r="19">
          <cell r="D19">
            <v>5700</v>
          </cell>
          <cell r="E19">
            <v>1200</v>
          </cell>
          <cell r="F19">
            <v>6150</v>
          </cell>
          <cell r="G19">
            <v>6220</v>
          </cell>
          <cell r="I19">
            <v>0</v>
          </cell>
          <cell r="J19"/>
        </row>
        <row r="20">
          <cell r="D20">
            <v>3000</v>
          </cell>
          <cell r="E20">
            <v>650</v>
          </cell>
          <cell r="F20">
            <v>500</v>
          </cell>
          <cell r="G20">
            <v>1200</v>
          </cell>
          <cell r="I20">
            <v>1208</v>
          </cell>
          <cell r="J20"/>
        </row>
        <row r="21">
          <cell r="D21">
            <v>90000</v>
          </cell>
          <cell r="E21">
            <v>10500</v>
          </cell>
          <cell r="F21">
            <v>33115</v>
          </cell>
          <cell r="G21">
            <v>6980</v>
          </cell>
          <cell r="H21">
            <v>5000</v>
          </cell>
          <cell r="I21">
            <v>0</v>
          </cell>
          <cell r="J21"/>
        </row>
        <row r="22">
          <cell r="D22">
            <v>30000</v>
          </cell>
          <cell r="E22"/>
          <cell r="F22"/>
          <cell r="M22">
            <v>30000</v>
          </cell>
        </row>
        <row r="23">
          <cell r="D23">
            <v>0</v>
          </cell>
          <cell r="E23">
            <v>0</v>
          </cell>
          <cell r="F23">
            <v>0</v>
          </cell>
          <cell r="G23">
            <v>500</v>
          </cell>
          <cell r="I23">
            <v>150</v>
          </cell>
          <cell r="J23"/>
          <cell r="M23">
            <v>0</v>
          </cell>
        </row>
        <row r="24">
          <cell r="D24">
            <v>500</v>
          </cell>
          <cell r="E24">
            <v>27050</v>
          </cell>
          <cell r="F24">
            <v>0</v>
          </cell>
          <cell r="G24">
            <v>11500</v>
          </cell>
          <cell r="I24">
            <v>20000</v>
          </cell>
          <cell r="J24"/>
        </row>
        <row r="25">
          <cell r="D25"/>
          <cell r="E25">
            <v>0</v>
          </cell>
          <cell r="F25"/>
          <cell r="G25">
            <v>0</v>
          </cell>
          <cell r="I25">
            <v>70750</v>
          </cell>
          <cell r="J25"/>
        </row>
        <row r="26">
          <cell r="G26">
            <v>60000</v>
          </cell>
          <cell r="M26">
            <v>0</v>
          </cell>
        </row>
        <row r="27">
          <cell r="D27"/>
          <cell r="E27">
            <v>0</v>
          </cell>
          <cell r="F27"/>
          <cell r="G27">
            <v>1200</v>
          </cell>
          <cell r="M27">
            <v>0</v>
          </cell>
        </row>
        <row r="28">
          <cell r="D28"/>
          <cell r="E28">
            <v>0</v>
          </cell>
          <cell r="F28"/>
          <cell r="G28">
            <v>25000</v>
          </cell>
          <cell r="M28">
            <v>0</v>
          </cell>
        </row>
        <row r="29">
          <cell r="D29"/>
          <cell r="E29">
            <v>620000</v>
          </cell>
          <cell r="F29"/>
          <cell r="G29">
            <v>0</v>
          </cell>
        </row>
      </sheetData>
      <sheetData sheetId="22"/>
      <sheetData sheetId="23"/>
      <sheetData sheetId="2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mp;ENarr"/>
      <sheetName val="WkforceNarr"/>
      <sheetName val="Pubsvcnarr"/>
      <sheetName val="allocation"/>
      <sheetName val="SVCPLAN"/>
      <sheetName val="APLREV"/>
      <sheetName val="ALLEXP"/>
      <sheetName val="EXP- OTHERS"/>
      <sheetName val="EMPLOYEES"/>
      <sheetName val="LEGAL SERVICES"/>
      <sheetName val="INDIRECT"/>
      <sheetName val="BENEFIT"/>
      <sheetName val="LOCAL"/>
      <sheetName val="Unrestricted fund bal"/>
      <sheetName val="Overall Fund Bal"/>
      <sheetName val="REVANALYSIS-2"/>
      <sheetName val="UNRESTRICTEDREV-2"/>
      <sheetName val="PROGRAM EXP-2"/>
      <sheetName val="CATEGORY EXP-2"/>
      <sheetName val="SHAREDINDR-2"/>
      <sheetName val="UNRESTRICTEDUSE-2"/>
      <sheetName val="Alloc"/>
      <sheetName val="GRAPH"/>
    </sheetNames>
    <sheetDataSet>
      <sheetData sheetId="0"/>
      <sheetData sheetId="1"/>
      <sheetData sheetId="2"/>
      <sheetData sheetId="3"/>
      <sheetData sheetId="4"/>
      <sheetData sheetId="5"/>
      <sheetData sheetId="6">
        <row r="10">
          <cell r="K10">
            <v>-5769895.0234467527</v>
          </cell>
        </row>
        <row r="14">
          <cell r="F14">
            <v>-4617229.1312778182</v>
          </cell>
        </row>
        <row r="16">
          <cell r="M16">
            <v>-4827018.2789074499</v>
          </cell>
        </row>
      </sheetData>
      <sheetData sheetId="7"/>
      <sheetData sheetId="8"/>
      <sheetData sheetId="9"/>
      <sheetData sheetId="10"/>
      <sheetData sheetId="11"/>
      <sheetData sheetId="12"/>
      <sheetData sheetId="13">
        <row r="11">
          <cell r="C11">
            <v>1339511.3879618135</v>
          </cell>
        </row>
      </sheetData>
      <sheetData sheetId="14"/>
      <sheetData sheetId="15"/>
      <sheetData sheetId="16"/>
      <sheetData sheetId="17"/>
      <sheetData sheetId="18"/>
      <sheetData sheetId="19"/>
      <sheetData sheetId="20"/>
      <sheetData sheetId="21"/>
      <sheetData sheetId="2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3 (2)"/>
      <sheetName val="Sheet3"/>
      <sheetName val="Sheet2"/>
      <sheetName val="2025 Personnel (2)"/>
      <sheetName val="2025 Personnel for Metit"/>
      <sheetName val="2025 Personnel"/>
      <sheetName val="Sheet5"/>
      <sheetName val="Sheet1"/>
      <sheetName val="Sheet4 (2)"/>
      <sheetName val="Sheet4"/>
      <sheetName val="Sheet1 (3)"/>
      <sheetName val="Sheet1 (4)"/>
      <sheetName val="Sheet1 (2)"/>
      <sheetName val="AD,IA,FI"/>
    </sheetNames>
    <sheetDataSet>
      <sheetData sheetId="0"/>
      <sheetData sheetId="1"/>
      <sheetData sheetId="2"/>
      <sheetData sheetId="3"/>
      <sheetData sheetId="4"/>
      <sheetData sheetId="5">
        <row r="468">
          <cell r="K468">
            <v>42471</v>
          </cell>
          <cell r="L468">
            <v>80652</v>
          </cell>
          <cell r="M468">
            <v>4487628.9743999904</v>
          </cell>
          <cell r="N468">
            <v>161632.78559999831</v>
          </cell>
          <cell r="O468">
            <v>25010.699999999808</v>
          </cell>
          <cell r="P468">
            <v>38610</v>
          </cell>
          <cell r="Q468">
            <v>22801.350000000097</v>
          </cell>
          <cell r="R468">
            <v>2782039.2461740668</v>
          </cell>
          <cell r="S468">
            <v>2432318.0487993131</v>
          </cell>
          <cell r="T468">
            <v>580222.76527605718</v>
          </cell>
          <cell r="U468">
            <v>1946986.6992043338</v>
          </cell>
          <cell r="V468">
            <v>856790.30764990696</v>
          </cell>
          <cell r="W468">
            <v>2141975.7691247659</v>
          </cell>
          <cell r="X468">
            <v>85679.03076499085</v>
          </cell>
          <cell r="Y468">
            <v>392309.36270956666</v>
          </cell>
        </row>
        <row r="471">
          <cell r="E471">
            <v>40028458.122486666</v>
          </cell>
        </row>
        <row r="472">
          <cell r="E472">
            <v>5031431.8067439971</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46.bin"/><Relationship Id="rId3" Type="http://schemas.openxmlformats.org/officeDocument/2006/relationships/printerSettings" Target="../printerSettings/printerSettings41.bin"/><Relationship Id="rId7" Type="http://schemas.openxmlformats.org/officeDocument/2006/relationships/printerSettings" Target="../printerSettings/printerSettings45.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6" Type="http://schemas.openxmlformats.org/officeDocument/2006/relationships/printerSettings" Target="../printerSettings/printerSettings44.bin"/><Relationship Id="rId5" Type="http://schemas.openxmlformats.org/officeDocument/2006/relationships/printerSettings" Target="../printerSettings/printerSettings43.bin"/><Relationship Id="rId4" Type="http://schemas.openxmlformats.org/officeDocument/2006/relationships/printerSettings" Target="../printerSettings/printerSettings42.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54.bin"/><Relationship Id="rId3" Type="http://schemas.openxmlformats.org/officeDocument/2006/relationships/printerSettings" Target="../printerSettings/printerSettings49.bin"/><Relationship Id="rId7" Type="http://schemas.openxmlformats.org/officeDocument/2006/relationships/printerSettings" Target="../printerSettings/printerSettings53.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6" Type="http://schemas.openxmlformats.org/officeDocument/2006/relationships/printerSettings" Target="../printerSettings/printerSettings52.bin"/><Relationship Id="rId5" Type="http://schemas.openxmlformats.org/officeDocument/2006/relationships/printerSettings" Target="../printerSettings/printerSettings51.bin"/><Relationship Id="rId4" Type="http://schemas.openxmlformats.org/officeDocument/2006/relationships/printerSettings" Target="../printerSettings/printerSettings50.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62.bin"/><Relationship Id="rId3" Type="http://schemas.openxmlformats.org/officeDocument/2006/relationships/printerSettings" Target="../printerSettings/printerSettings57.bin"/><Relationship Id="rId7" Type="http://schemas.openxmlformats.org/officeDocument/2006/relationships/printerSettings" Target="../printerSettings/printerSettings61.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70.bin"/><Relationship Id="rId3" Type="http://schemas.openxmlformats.org/officeDocument/2006/relationships/printerSettings" Target="../printerSettings/printerSettings65.bin"/><Relationship Id="rId7" Type="http://schemas.openxmlformats.org/officeDocument/2006/relationships/printerSettings" Target="../printerSettings/printerSettings69.bin"/><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 Id="rId6" Type="http://schemas.openxmlformats.org/officeDocument/2006/relationships/printerSettings" Target="../printerSettings/printerSettings68.bin"/><Relationship Id="rId5" Type="http://schemas.openxmlformats.org/officeDocument/2006/relationships/printerSettings" Target="../printerSettings/printerSettings67.bin"/><Relationship Id="rId4" Type="http://schemas.openxmlformats.org/officeDocument/2006/relationships/printerSettings" Target="../printerSettings/printerSettings66.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78.bin"/><Relationship Id="rId3" Type="http://schemas.openxmlformats.org/officeDocument/2006/relationships/printerSettings" Target="../printerSettings/printerSettings73.bin"/><Relationship Id="rId7" Type="http://schemas.openxmlformats.org/officeDocument/2006/relationships/printerSettings" Target="../printerSettings/printerSettings77.bin"/><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 Id="rId6" Type="http://schemas.openxmlformats.org/officeDocument/2006/relationships/printerSettings" Target="../printerSettings/printerSettings76.bin"/><Relationship Id="rId5" Type="http://schemas.openxmlformats.org/officeDocument/2006/relationships/printerSettings" Target="../printerSettings/printerSettings75.bin"/><Relationship Id="rId4" Type="http://schemas.openxmlformats.org/officeDocument/2006/relationships/printerSettings" Target="../printerSettings/printerSettings7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93.bin"/><Relationship Id="rId3" Type="http://schemas.openxmlformats.org/officeDocument/2006/relationships/printerSettings" Target="../printerSettings/printerSettings88.bin"/><Relationship Id="rId7" Type="http://schemas.openxmlformats.org/officeDocument/2006/relationships/printerSettings" Target="../printerSettings/printerSettings92.bin"/><Relationship Id="rId2" Type="http://schemas.openxmlformats.org/officeDocument/2006/relationships/printerSettings" Target="../printerSettings/printerSettings87.bin"/><Relationship Id="rId1" Type="http://schemas.openxmlformats.org/officeDocument/2006/relationships/printerSettings" Target="../printerSettings/printerSettings86.bin"/><Relationship Id="rId6" Type="http://schemas.openxmlformats.org/officeDocument/2006/relationships/printerSettings" Target="../printerSettings/printerSettings91.bin"/><Relationship Id="rId5" Type="http://schemas.openxmlformats.org/officeDocument/2006/relationships/printerSettings" Target="../printerSettings/printerSettings90.bin"/><Relationship Id="rId4" Type="http://schemas.openxmlformats.org/officeDocument/2006/relationships/printerSettings" Target="../printerSettings/printerSettings8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11.bin"/><Relationship Id="rId3" Type="http://schemas.openxmlformats.org/officeDocument/2006/relationships/printerSettings" Target="../printerSettings/printerSettings6.bin"/><Relationship Id="rId7" Type="http://schemas.openxmlformats.org/officeDocument/2006/relationships/printerSettings" Target="../printerSettings/printerSettings10.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printerSettings" Target="../printerSettings/printerSettings9.bin"/><Relationship Id="rId5" Type="http://schemas.openxmlformats.org/officeDocument/2006/relationships/printerSettings" Target="../printerSettings/printerSettings8.bin"/><Relationship Id="rId4"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printerSettings" Target="../printerSettings/printerSettings14.bin"/><Relationship Id="rId7" Type="http://schemas.openxmlformats.org/officeDocument/2006/relationships/printerSettings" Target="../printerSettings/printerSettings18.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printerSettings" Target="../printerSettings/printerSettings17.bin"/><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27.bin"/><Relationship Id="rId3" Type="http://schemas.openxmlformats.org/officeDocument/2006/relationships/printerSettings" Target="../printerSettings/printerSettings22.bin"/><Relationship Id="rId7" Type="http://schemas.openxmlformats.org/officeDocument/2006/relationships/printerSettings" Target="../printerSettings/printerSettings26.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printerSettings" Target="../printerSettings/printerSettings25.bin"/><Relationship Id="rId5" Type="http://schemas.openxmlformats.org/officeDocument/2006/relationships/printerSettings" Target="../printerSettings/printerSettings24.bin"/><Relationship Id="rId4" Type="http://schemas.openxmlformats.org/officeDocument/2006/relationships/printerSettings" Target="../printerSettings/printerSettings23.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35.bin"/><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AH70"/>
  <sheetViews>
    <sheetView showOutlineSymbols="0" workbookViewId="0"/>
  </sheetViews>
  <sheetFormatPr defaultRowHeight="12.75" x14ac:dyDescent="0.2"/>
  <cols>
    <col min="1" max="1" width="25.28515625" customWidth="1"/>
    <col min="2" max="2" width="10.140625" bestFit="1" customWidth="1"/>
    <col min="3" max="3" width="9.28515625" style="10" bestFit="1" customWidth="1"/>
    <col min="4" max="4" width="10.28515625" style="15" customWidth="1"/>
    <col min="5" max="5" width="9.28515625" style="17" bestFit="1" customWidth="1"/>
    <col min="6" max="6" width="9.28515625" style="10" customWidth="1"/>
    <col min="7" max="8" width="9.140625" style="10"/>
    <col min="9" max="9" width="11.28515625" style="10" customWidth="1"/>
    <col min="10" max="13" width="9.140625" style="15"/>
    <col min="14" max="14" width="9.140625" style="17"/>
    <col min="15" max="15" width="9.140625" style="15"/>
    <col min="16" max="16" width="11.85546875" style="10" customWidth="1"/>
    <col min="17" max="17" width="13.28515625" style="15" customWidth="1"/>
    <col min="18" max="18" width="14.140625" style="15" customWidth="1"/>
    <col min="19" max="19" width="12.28515625" style="15" customWidth="1"/>
    <col min="20" max="22" width="9.140625" style="15"/>
    <col min="23" max="23" width="9.140625" style="17"/>
    <col min="24" max="25" width="9.140625" style="10"/>
    <col min="26" max="26" width="13.28515625" style="15" customWidth="1"/>
    <col min="27" max="27" width="14.28515625" style="10" bestFit="1" customWidth="1"/>
    <col min="28" max="28" width="16.28515625" style="10" bestFit="1" customWidth="1"/>
    <col min="29" max="29" width="9.140625" style="10"/>
    <col min="30" max="31" width="9.140625" style="12"/>
    <col min="32" max="32" width="14.28515625" style="12" bestFit="1" customWidth="1"/>
    <col min="33" max="34" width="9.140625" style="12"/>
  </cols>
  <sheetData>
    <row r="3" spans="1:34" x14ac:dyDescent="0.2">
      <c r="F3" s="10" t="e">
        <f>#REF!</f>
        <v>#REF!</v>
      </c>
      <c r="G3" s="10" t="e">
        <f>#REF!</f>
        <v>#REF!</v>
      </c>
      <c r="H3" s="10" t="e">
        <f>#REF!</f>
        <v>#REF!</v>
      </c>
      <c r="I3" s="10" t="e">
        <f>#REF!</f>
        <v>#REF!</v>
      </c>
      <c r="J3" s="15" t="e">
        <f>#REF!</f>
        <v>#REF!</v>
      </c>
      <c r="K3" s="15" t="e">
        <f>#REF!</f>
        <v>#REF!</v>
      </c>
      <c r="L3" s="15" t="e">
        <f>#REF!</f>
        <v>#REF!</v>
      </c>
      <c r="M3" s="15" t="e">
        <f>#REF!</f>
        <v>#REF!</v>
      </c>
      <c r="N3" s="17" t="e">
        <f>#REF!</f>
        <v>#REF!</v>
      </c>
      <c r="O3" s="15" t="e">
        <f>#REF!</f>
        <v>#REF!</v>
      </c>
      <c r="P3" s="10" t="e">
        <f>#REF!</f>
        <v>#REF!</v>
      </c>
      <c r="Q3" s="15" t="e">
        <f>#REF!</f>
        <v>#REF!</v>
      </c>
      <c r="R3" s="15" t="e">
        <f>#REF!</f>
        <v>#REF!</v>
      </c>
      <c r="S3" s="15" t="e">
        <f>#REF!</f>
        <v>#REF!</v>
      </c>
      <c r="T3" s="15" t="e">
        <f>#REF!</f>
        <v>#REF!</v>
      </c>
      <c r="U3" s="15" t="e">
        <f>#REF!</f>
        <v>#REF!</v>
      </c>
      <c r="V3" s="15" t="e">
        <f>#REF!</f>
        <v>#REF!</v>
      </c>
      <c r="W3" s="17" t="e">
        <f>#REF!</f>
        <v>#REF!</v>
      </c>
      <c r="X3" s="10" t="e">
        <f>#REF!</f>
        <v>#REF!</v>
      </c>
      <c r="Y3" s="10" t="e">
        <f>#REF!</f>
        <v>#REF!</v>
      </c>
      <c r="Z3" s="15" t="e">
        <f>#REF!</f>
        <v>#REF!</v>
      </c>
      <c r="AA3" s="10" t="e">
        <f>#REF!</f>
        <v>#REF!</v>
      </c>
      <c r="AB3" s="10" t="e">
        <f>#REF!</f>
        <v>#REF!</v>
      </c>
      <c r="AC3" s="10" t="e">
        <f>#REF!</f>
        <v>#REF!</v>
      </c>
    </row>
    <row r="4" spans="1:34" x14ac:dyDescent="0.2">
      <c r="F4" s="10" t="e">
        <f>#REF!</f>
        <v>#REF!</v>
      </c>
      <c r="G4" s="10" t="e">
        <f>#REF!</f>
        <v>#REF!</v>
      </c>
      <c r="H4" s="10" t="e">
        <f>#REF!</f>
        <v>#REF!</v>
      </c>
      <c r="I4" s="10" t="e">
        <f>#REF!</f>
        <v>#REF!</v>
      </c>
      <c r="J4" s="15" t="e">
        <f>#REF!</f>
        <v>#REF!</v>
      </c>
      <c r="K4" s="15" t="e">
        <f>#REF!</f>
        <v>#REF!</v>
      </c>
      <c r="L4" s="15" t="e">
        <f>#REF!</f>
        <v>#REF!</v>
      </c>
      <c r="M4" s="15" t="e">
        <f>#REF!</f>
        <v>#REF!</v>
      </c>
      <c r="N4" s="17" t="e">
        <f>#REF!</f>
        <v>#REF!</v>
      </c>
      <c r="O4" s="15" t="e">
        <f>#REF!</f>
        <v>#REF!</v>
      </c>
      <c r="P4" s="10" t="e">
        <f>#REF!</f>
        <v>#REF!</v>
      </c>
      <c r="Q4" s="15" t="e">
        <f>#REF!</f>
        <v>#REF!</v>
      </c>
      <c r="R4" s="15" t="e">
        <f>#REF!</f>
        <v>#REF!</v>
      </c>
      <c r="S4" s="15" t="e">
        <f>#REF!</f>
        <v>#REF!</v>
      </c>
      <c r="T4" s="15" t="e">
        <f>#REF!</f>
        <v>#REF!</v>
      </c>
      <c r="U4" s="15" t="e">
        <f>#REF!</f>
        <v>#REF!</v>
      </c>
      <c r="V4" s="15" t="e">
        <f>#REF!</f>
        <v>#REF!</v>
      </c>
      <c r="W4" s="17" t="e">
        <f>#REF!</f>
        <v>#REF!</v>
      </c>
      <c r="X4" s="10" t="e">
        <f>#REF!</f>
        <v>#REF!</v>
      </c>
      <c r="Y4" s="10" t="e">
        <f>#REF!</f>
        <v>#REF!</v>
      </c>
      <c r="Z4" s="15" t="e">
        <f>#REF!</f>
        <v>#REF!</v>
      </c>
      <c r="AA4" s="10" t="e">
        <f>#REF!</f>
        <v>#REF!</v>
      </c>
      <c r="AB4" s="10" t="e">
        <f>#REF!</f>
        <v>#REF!</v>
      </c>
      <c r="AC4" s="10" t="e">
        <f>#REF!</f>
        <v>#REF!</v>
      </c>
    </row>
    <row r="5" spans="1:34" x14ac:dyDescent="0.2">
      <c r="A5" t="e">
        <f>#REF!</f>
        <v>#REF!</v>
      </c>
      <c r="B5">
        <v>200</v>
      </c>
      <c r="C5" s="10">
        <v>201</v>
      </c>
      <c r="D5" s="15">
        <v>202</v>
      </c>
      <c r="E5" s="17">
        <v>203</v>
      </c>
      <c r="F5" s="10" t="e">
        <f>#REF!</f>
        <v>#REF!</v>
      </c>
      <c r="G5" s="10" t="e">
        <f>#REF!</f>
        <v>#REF!</v>
      </c>
      <c r="H5" s="10" t="e">
        <f>#REF!</f>
        <v>#REF!</v>
      </c>
      <c r="I5" s="10" t="e">
        <f>#REF!</f>
        <v>#REF!</v>
      </c>
      <c r="J5" s="15" t="e">
        <f>#REF!</f>
        <v>#REF!</v>
      </c>
      <c r="K5" s="15" t="e">
        <f>#REF!</f>
        <v>#REF!</v>
      </c>
      <c r="L5" s="15" t="e">
        <f>#REF!</f>
        <v>#REF!</v>
      </c>
      <c r="M5" s="15" t="e">
        <f>#REF!</f>
        <v>#REF!</v>
      </c>
      <c r="N5" s="17" t="e">
        <f>#REF!</f>
        <v>#REF!</v>
      </c>
      <c r="O5" s="15" t="e">
        <f>#REF!</f>
        <v>#REF!</v>
      </c>
      <c r="P5" s="10" t="e">
        <f>#REF!</f>
        <v>#REF!</v>
      </c>
      <c r="Q5" s="15" t="e">
        <f>#REF!</f>
        <v>#REF!</v>
      </c>
      <c r="R5" s="15" t="e">
        <f>#REF!</f>
        <v>#REF!</v>
      </c>
      <c r="S5" s="15" t="e">
        <f>#REF!</f>
        <v>#REF!</v>
      </c>
      <c r="T5" s="15" t="e">
        <f>#REF!</f>
        <v>#REF!</v>
      </c>
      <c r="U5" s="15" t="e">
        <f>#REF!</f>
        <v>#REF!</v>
      </c>
      <c r="V5" s="15" t="e">
        <f>#REF!</f>
        <v>#REF!</v>
      </c>
      <c r="W5" s="17" t="e">
        <f>#REF!</f>
        <v>#REF!</v>
      </c>
      <c r="X5" s="10" t="e">
        <f>#REF!</f>
        <v>#REF!</v>
      </c>
      <c r="Y5" s="10" t="e">
        <f>#REF!</f>
        <v>#REF!</v>
      </c>
      <c r="Z5" s="15" t="e">
        <f>#REF!</f>
        <v>#REF!</v>
      </c>
      <c r="AA5" s="10" t="e">
        <f>#REF!</f>
        <v>#REF!</v>
      </c>
      <c r="AB5" s="10" t="e">
        <f>#REF!</f>
        <v>#REF!</v>
      </c>
      <c r="AC5" s="10" t="e">
        <f>#REF!</f>
        <v>#REF!</v>
      </c>
    </row>
    <row r="6" spans="1:34" x14ac:dyDescent="0.2">
      <c r="F6" s="10" t="e">
        <f>#REF!</f>
        <v>#REF!</v>
      </c>
      <c r="G6" s="10" t="e">
        <f>#REF!</f>
        <v>#REF!</v>
      </c>
      <c r="H6" s="10" t="e">
        <f>#REF!</f>
        <v>#REF!</v>
      </c>
      <c r="I6" s="10" t="e">
        <f>#REF!</f>
        <v>#REF!</v>
      </c>
      <c r="J6" s="15" t="e">
        <f>#REF!</f>
        <v>#REF!</v>
      </c>
      <c r="K6" s="15" t="e">
        <f>#REF!</f>
        <v>#REF!</v>
      </c>
      <c r="L6" s="15" t="e">
        <f>#REF!</f>
        <v>#REF!</v>
      </c>
      <c r="M6" s="15" t="e">
        <f>#REF!</f>
        <v>#REF!</v>
      </c>
      <c r="N6" s="17" t="e">
        <f>#REF!</f>
        <v>#REF!</v>
      </c>
      <c r="O6" s="15" t="e">
        <f>#REF!</f>
        <v>#REF!</v>
      </c>
      <c r="P6" s="10" t="e">
        <f>#REF!</f>
        <v>#REF!</v>
      </c>
      <c r="Q6" s="15" t="e">
        <f>#REF!</f>
        <v>#REF!</v>
      </c>
      <c r="R6" s="15" t="e">
        <f>#REF!</f>
        <v>#REF!</v>
      </c>
      <c r="S6" s="15" t="e">
        <f>#REF!</f>
        <v>#REF!</v>
      </c>
      <c r="T6" s="15" t="e">
        <f>#REF!</f>
        <v>#REF!</v>
      </c>
      <c r="U6" s="15" t="e">
        <f>#REF!</f>
        <v>#REF!</v>
      </c>
      <c r="V6" s="15" t="e">
        <f>#REF!</f>
        <v>#REF!</v>
      </c>
      <c r="W6" s="17" t="e">
        <f>#REF!</f>
        <v>#REF!</v>
      </c>
      <c r="X6" s="10" t="e">
        <f>#REF!</f>
        <v>#REF!</v>
      </c>
      <c r="Y6" s="10" t="e">
        <f>#REF!</f>
        <v>#REF!</v>
      </c>
      <c r="Z6" s="15" t="e">
        <f>#REF!</f>
        <v>#REF!</v>
      </c>
      <c r="AA6" s="10" t="e">
        <f>#REF!</f>
        <v>#REF!</v>
      </c>
      <c r="AB6" s="10" t="e">
        <f>#REF!</f>
        <v>#REF!</v>
      </c>
      <c r="AC6" s="10" t="e">
        <f>#REF!</f>
        <v>#REF!</v>
      </c>
    </row>
    <row r="7" spans="1:34" x14ac:dyDescent="0.2">
      <c r="A7" t="e">
        <f>#REF!</f>
        <v>#REF!</v>
      </c>
      <c r="B7" s="6" t="e">
        <f>+#REF!</f>
        <v>#REF!</v>
      </c>
      <c r="C7" s="11" t="e">
        <f>+F7+G7+H7+I7+P7+X7+Y7+AA7+AB7+AC7</f>
        <v>#REF!</v>
      </c>
      <c r="D7" s="16" t="e">
        <f>+J7+K7+L7+M7+O7+Q7+R7+S7+T7+U7+V7+Z7</f>
        <v>#REF!</v>
      </c>
      <c r="E7" s="18" t="e">
        <f>+N7+W7</f>
        <v>#REF!</v>
      </c>
      <c r="F7" s="11" t="e">
        <f>#REF!</f>
        <v>#REF!</v>
      </c>
      <c r="G7" s="11" t="e">
        <f>#REF!</f>
        <v>#REF!</v>
      </c>
      <c r="H7" s="11" t="e">
        <f>#REF!</f>
        <v>#REF!</v>
      </c>
      <c r="I7" s="11" t="e">
        <f>#REF!</f>
        <v>#REF!</v>
      </c>
      <c r="J7" s="16" t="e">
        <f>#REF!</f>
        <v>#REF!</v>
      </c>
      <c r="K7" s="16" t="e">
        <f>#REF!</f>
        <v>#REF!</v>
      </c>
      <c r="L7" s="16" t="e">
        <f>#REF!</f>
        <v>#REF!</v>
      </c>
      <c r="M7" s="16" t="e">
        <f>#REF!</f>
        <v>#REF!</v>
      </c>
      <c r="N7" s="18" t="e">
        <f>#REF!</f>
        <v>#REF!</v>
      </c>
      <c r="O7" s="16" t="e">
        <f>#REF!</f>
        <v>#REF!</v>
      </c>
      <c r="P7" s="11" t="e">
        <f>#REF!</f>
        <v>#REF!</v>
      </c>
      <c r="Q7" s="16" t="e">
        <f>#REF!</f>
        <v>#REF!</v>
      </c>
      <c r="R7" s="16" t="e">
        <f>#REF!</f>
        <v>#REF!</v>
      </c>
      <c r="S7" s="16" t="e">
        <f>#REF!</f>
        <v>#REF!</v>
      </c>
      <c r="T7" s="16" t="e">
        <f>#REF!</f>
        <v>#REF!</v>
      </c>
      <c r="U7" s="16" t="e">
        <f>#REF!</f>
        <v>#REF!</v>
      </c>
      <c r="V7" s="16" t="e">
        <f>#REF!</f>
        <v>#REF!</v>
      </c>
      <c r="W7" s="18" t="e">
        <f>#REF!</f>
        <v>#REF!</v>
      </c>
      <c r="X7" s="11" t="e">
        <f>#REF!</f>
        <v>#REF!</v>
      </c>
      <c r="Y7" s="11" t="e">
        <f>#REF!</f>
        <v>#REF!</v>
      </c>
      <c r="Z7" s="16" t="e">
        <f>#REF!</f>
        <v>#REF!</v>
      </c>
      <c r="AA7" s="11" t="e">
        <f>#REF!</f>
        <v>#REF!</v>
      </c>
      <c r="AB7" s="11" t="e">
        <f>#REF!</f>
        <v>#REF!</v>
      </c>
      <c r="AC7" s="11" t="e">
        <f>#REF!</f>
        <v>#REF!</v>
      </c>
      <c r="AD7" s="13"/>
      <c r="AE7" s="13"/>
      <c r="AF7" s="13"/>
      <c r="AG7" s="13"/>
      <c r="AH7" s="13"/>
    </row>
    <row r="8" spans="1:34" x14ac:dyDescent="0.2">
      <c r="A8" t="e">
        <f>#REF!</f>
        <v>#REF!</v>
      </c>
      <c r="B8" s="6" t="e">
        <f>+#REF!</f>
        <v>#REF!</v>
      </c>
      <c r="C8" s="11" t="e">
        <f t="shared" ref="C8:C17" si="0">+F8+G8+H8+I8+P8+X8+Y8+AA8+AB8+AC8</f>
        <v>#REF!</v>
      </c>
      <c r="D8" s="16" t="e">
        <f t="shared" ref="D8:D67" si="1">+J8+K8+L8+M8+O8+Q8+R8+S8+T8+U8+V8+Z8</f>
        <v>#REF!</v>
      </c>
      <c r="E8" s="18" t="e">
        <f t="shared" ref="E8:E17" si="2">+N8+W8</f>
        <v>#REF!</v>
      </c>
      <c r="F8" s="11" t="e">
        <f>#REF!</f>
        <v>#REF!</v>
      </c>
      <c r="G8" s="11" t="e">
        <f>#REF!</f>
        <v>#REF!</v>
      </c>
      <c r="H8" s="11" t="e">
        <f>#REF!</f>
        <v>#REF!</v>
      </c>
      <c r="I8" s="11" t="e">
        <f>#REF!</f>
        <v>#REF!</v>
      </c>
      <c r="J8" s="16" t="e">
        <f>#REF!</f>
        <v>#REF!</v>
      </c>
      <c r="K8" s="16" t="e">
        <f>#REF!</f>
        <v>#REF!</v>
      </c>
      <c r="L8" s="16" t="e">
        <f>#REF!</f>
        <v>#REF!</v>
      </c>
      <c r="M8" s="16" t="e">
        <f>#REF!</f>
        <v>#REF!</v>
      </c>
      <c r="N8" s="18" t="e">
        <f>#REF!</f>
        <v>#REF!</v>
      </c>
      <c r="O8" s="16" t="e">
        <f>#REF!</f>
        <v>#REF!</v>
      </c>
      <c r="P8" s="11" t="e">
        <f>#REF!</f>
        <v>#REF!</v>
      </c>
      <c r="Q8" s="16" t="e">
        <f>#REF!</f>
        <v>#REF!</v>
      </c>
      <c r="R8" s="16" t="e">
        <f>#REF!</f>
        <v>#REF!</v>
      </c>
      <c r="S8" s="16" t="e">
        <f>#REF!</f>
        <v>#REF!</v>
      </c>
      <c r="T8" s="16" t="e">
        <f>#REF!</f>
        <v>#REF!</v>
      </c>
      <c r="U8" s="16" t="e">
        <f>#REF!</f>
        <v>#REF!</v>
      </c>
      <c r="V8" s="16" t="e">
        <f>#REF!</f>
        <v>#REF!</v>
      </c>
      <c r="W8" s="18" t="e">
        <f>#REF!</f>
        <v>#REF!</v>
      </c>
      <c r="X8" s="11" t="e">
        <f>#REF!</f>
        <v>#REF!</v>
      </c>
      <c r="Y8" s="11" t="e">
        <f>#REF!</f>
        <v>#REF!</v>
      </c>
      <c r="Z8" s="16" t="e">
        <f>#REF!</f>
        <v>#REF!</v>
      </c>
      <c r="AA8" s="11" t="e">
        <f>#REF!</f>
        <v>#REF!</v>
      </c>
      <c r="AB8" s="11" t="e">
        <f>#REF!</f>
        <v>#REF!</v>
      </c>
      <c r="AC8" s="11" t="e">
        <f>#REF!</f>
        <v>#REF!</v>
      </c>
      <c r="AD8" s="13"/>
      <c r="AE8" s="13"/>
      <c r="AF8" s="13"/>
      <c r="AG8" s="13"/>
      <c r="AH8" s="13"/>
    </row>
    <row r="9" spans="1:34" x14ac:dyDescent="0.2">
      <c r="A9" t="e">
        <f>#REF!</f>
        <v>#REF!</v>
      </c>
      <c r="B9" s="6" t="e">
        <f>+#REF!</f>
        <v>#REF!</v>
      </c>
      <c r="C9" s="11" t="e">
        <f t="shared" si="0"/>
        <v>#REF!</v>
      </c>
      <c r="D9" s="16" t="e">
        <f t="shared" si="1"/>
        <v>#REF!</v>
      </c>
      <c r="E9" s="18" t="e">
        <f t="shared" si="2"/>
        <v>#REF!</v>
      </c>
      <c r="F9" s="11" t="e">
        <f>#REF!</f>
        <v>#REF!</v>
      </c>
      <c r="G9" s="11" t="e">
        <f>#REF!</f>
        <v>#REF!</v>
      </c>
      <c r="H9" s="11" t="e">
        <f>#REF!</f>
        <v>#REF!</v>
      </c>
      <c r="I9" s="11" t="e">
        <f>#REF!</f>
        <v>#REF!</v>
      </c>
      <c r="J9" s="16" t="e">
        <f>#REF!</f>
        <v>#REF!</v>
      </c>
      <c r="K9" s="16" t="e">
        <f>#REF!</f>
        <v>#REF!</v>
      </c>
      <c r="L9" s="16" t="e">
        <f>#REF!</f>
        <v>#REF!</v>
      </c>
      <c r="M9" s="16" t="e">
        <f>#REF!</f>
        <v>#REF!</v>
      </c>
      <c r="N9" s="18" t="e">
        <f>#REF!</f>
        <v>#REF!</v>
      </c>
      <c r="O9" s="16" t="e">
        <f>#REF!</f>
        <v>#REF!</v>
      </c>
      <c r="P9" s="11" t="e">
        <f>#REF!</f>
        <v>#REF!</v>
      </c>
      <c r="Q9" s="16" t="e">
        <f>#REF!</f>
        <v>#REF!</v>
      </c>
      <c r="R9" s="16" t="e">
        <f>#REF!</f>
        <v>#REF!</v>
      </c>
      <c r="S9" s="16" t="e">
        <f>#REF!</f>
        <v>#REF!</v>
      </c>
      <c r="T9" s="16" t="e">
        <f>#REF!</f>
        <v>#REF!</v>
      </c>
      <c r="U9" s="16" t="e">
        <f>#REF!</f>
        <v>#REF!</v>
      </c>
      <c r="V9" s="16" t="e">
        <f>#REF!</f>
        <v>#REF!</v>
      </c>
      <c r="W9" s="18" t="e">
        <f>#REF!</f>
        <v>#REF!</v>
      </c>
      <c r="X9" s="11" t="e">
        <f>#REF!</f>
        <v>#REF!</v>
      </c>
      <c r="Y9" s="11" t="e">
        <f>#REF!</f>
        <v>#REF!</v>
      </c>
      <c r="Z9" s="16" t="e">
        <f>#REF!</f>
        <v>#REF!</v>
      </c>
      <c r="AA9" s="11" t="e">
        <f>#REF!</f>
        <v>#REF!</v>
      </c>
      <c r="AB9" s="11" t="e">
        <f>#REF!</f>
        <v>#REF!</v>
      </c>
      <c r="AC9" s="11" t="e">
        <f>#REF!</f>
        <v>#REF!</v>
      </c>
      <c r="AD9" s="13"/>
      <c r="AE9" s="13"/>
      <c r="AF9" s="13"/>
      <c r="AG9" s="13"/>
      <c r="AH9" s="13"/>
    </row>
    <row r="10" spans="1:34" x14ac:dyDescent="0.2">
      <c r="A10" t="e">
        <f>#REF!</f>
        <v>#REF!</v>
      </c>
      <c r="B10" s="6" t="e">
        <f>+#REF!</f>
        <v>#REF!</v>
      </c>
      <c r="C10" s="11" t="e">
        <f t="shared" si="0"/>
        <v>#REF!</v>
      </c>
      <c r="D10" s="16" t="e">
        <f t="shared" si="1"/>
        <v>#REF!</v>
      </c>
      <c r="E10" s="18" t="e">
        <f t="shared" si="2"/>
        <v>#REF!</v>
      </c>
      <c r="F10" s="11" t="e">
        <f>#REF!</f>
        <v>#REF!</v>
      </c>
      <c r="G10" s="11" t="e">
        <f>#REF!</f>
        <v>#REF!</v>
      </c>
      <c r="H10" s="11" t="e">
        <f>#REF!</f>
        <v>#REF!</v>
      </c>
      <c r="I10" s="11" t="e">
        <f>#REF!</f>
        <v>#REF!</v>
      </c>
      <c r="J10" s="16" t="e">
        <f>#REF!</f>
        <v>#REF!</v>
      </c>
      <c r="K10" s="16" t="e">
        <f>#REF!</f>
        <v>#REF!</v>
      </c>
      <c r="L10" s="16" t="e">
        <f>#REF!</f>
        <v>#REF!</v>
      </c>
      <c r="M10" s="16" t="e">
        <f>#REF!</f>
        <v>#REF!</v>
      </c>
      <c r="N10" s="18" t="e">
        <f>#REF!</f>
        <v>#REF!</v>
      </c>
      <c r="O10" s="16" t="e">
        <f>#REF!</f>
        <v>#REF!</v>
      </c>
      <c r="P10" s="11" t="e">
        <f>#REF!</f>
        <v>#REF!</v>
      </c>
      <c r="Q10" s="16" t="e">
        <f>#REF!</f>
        <v>#REF!</v>
      </c>
      <c r="R10" s="16" t="e">
        <f>#REF!</f>
        <v>#REF!</v>
      </c>
      <c r="S10" s="16" t="e">
        <f>#REF!</f>
        <v>#REF!</v>
      </c>
      <c r="T10" s="16" t="e">
        <f>#REF!</f>
        <v>#REF!</v>
      </c>
      <c r="U10" s="16" t="e">
        <f>#REF!</f>
        <v>#REF!</v>
      </c>
      <c r="V10" s="16" t="e">
        <f>#REF!</f>
        <v>#REF!</v>
      </c>
      <c r="W10" s="18" t="e">
        <f>#REF!</f>
        <v>#REF!</v>
      </c>
      <c r="X10" s="11" t="e">
        <f>#REF!</f>
        <v>#REF!</v>
      </c>
      <c r="Y10" s="11" t="e">
        <f>#REF!</f>
        <v>#REF!</v>
      </c>
      <c r="Z10" s="16" t="e">
        <f>#REF!</f>
        <v>#REF!</v>
      </c>
      <c r="AA10" s="11" t="e">
        <f>#REF!</f>
        <v>#REF!</v>
      </c>
      <c r="AB10" s="11" t="e">
        <f>#REF!</f>
        <v>#REF!</v>
      </c>
      <c r="AC10" s="11" t="e">
        <f>#REF!</f>
        <v>#REF!</v>
      </c>
      <c r="AD10" s="13"/>
      <c r="AE10" s="13"/>
      <c r="AF10" s="13"/>
      <c r="AG10" s="13"/>
      <c r="AH10" s="13"/>
    </row>
    <row r="11" spans="1:34" x14ac:dyDescent="0.2">
      <c r="A11" t="e">
        <f>#REF!</f>
        <v>#REF!</v>
      </c>
      <c r="B11" s="6" t="e">
        <f>+#REF!</f>
        <v>#REF!</v>
      </c>
      <c r="C11" s="11" t="e">
        <f t="shared" si="0"/>
        <v>#REF!</v>
      </c>
      <c r="D11" s="16" t="e">
        <f t="shared" si="1"/>
        <v>#REF!</v>
      </c>
      <c r="E11" s="18" t="e">
        <f t="shared" si="2"/>
        <v>#REF!</v>
      </c>
      <c r="F11" s="11" t="e">
        <f>#REF!</f>
        <v>#REF!</v>
      </c>
      <c r="G11" s="11" t="e">
        <f>#REF!</f>
        <v>#REF!</v>
      </c>
      <c r="H11" s="11" t="e">
        <f>#REF!</f>
        <v>#REF!</v>
      </c>
      <c r="I11" s="11" t="e">
        <f>#REF!</f>
        <v>#REF!</v>
      </c>
      <c r="J11" s="16" t="e">
        <f>#REF!</f>
        <v>#REF!</v>
      </c>
      <c r="K11" s="16" t="e">
        <f>#REF!</f>
        <v>#REF!</v>
      </c>
      <c r="L11" s="16" t="e">
        <f>#REF!</f>
        <v>#REF!</v>
      </c>
      <c r="M11" s="16" t="e">
        <f>#REF!</f>
        <v>#REF!</v>
      </c>
      <c r="N11" s="18" t="e">
        <f>#REF!</f>
        <v>#REF!</v>
      </c>
      <c r="O11" s="16" t="e">
        <f>#REF!</f>
        <v>#REF!</v>
      </c>
      <c r="P11" s="11" t="e">
        <f>#REF!</f>
        <v>#REF!</v>
      </c>
      <c r="Q11" s="16" t="e">
        <f>#REF!</f>
        <v>#REF!</v>
      </c>
      <c r="R11" s="16" t="e">
        <f>#REF!</f>
        <v>#REF!</v>
      </c>
      <c r="S11" s="16" t="e">
        <f>#REF!</f>
        <v>#REF!</v>
      </c>
      <c r="T11" s="16" t="e">
        <f>#REF!</f>
        <v>#REF!</v>
      </c>
      <c r="U11" s="16" t="e">
        <f>#REF!</f>
        <v>#REF!</v>
      </c>
      <c r="V11" s="16" t="e">
        <f>#REF!</f>
        <v>#REF!</v>
      </c>
      <c r="W11" s="18" t="e">
        <f>#REF!</f>
        <v>#REF!</v>
      </c>
      <c r="X11" s="11" t="e">
        <f>#REF!</f>
        <v>#REF!</v>
      </c>
      <c r="Y11" s="11" t="e">
        <f>#REF!</f>
        <v>#REF!</v>
      </c>
      <c r="Z11" s="16" t="e">
        <f>#REF!</f>
        <v>#REF!</v>
      </c>
      <c r="AA11" s="11" t="e">
        <f>#REF!</f>
        <v>#REF!</v>
      </c>
      <c r="AB11" s="11" t="e">
        <f>#REF!</f>
        <v>#REF!</v>
      </c>
      <c r="AC11" s="11" t="e">
        <f>#REF!</f>
        <v>#REF!</v>
      </c>
      <c r="AD11" s="13"/>
      <c r="AE11" s="13"/>
      <c r="AF11" s="13"/>
      <c r="AG11" s="13"/>
      <c r="AH11" s="13"/>
    </row>
    <row r="12" spans="1:34" x14ac:dyDescent="0.2">
      <c r="A12" t="e">
        <f>#REF!</f>
        <v>#REF!</v>
      </c>
      <c r="B12" s="6" t="e">
        <f>+#REF!</f>
        <v>#REF!</v>
      </c>
      <c r="C12" s="11" t="e">
        <f t="shared" si="0"/>
        <v>#REF!</v>
      </c>
      <c r="D12" s="16" t="e">
        <f t="shared" si="1"/>
        <v>#REF!</v>
      </c>
      <c r="E12" s="18" t="e">
        <f t="shared" si="2"/>
        <v>#REF!</v>
      </c>
      <c r="F12" s="11" t="e">
        <f>#REF!</f>
        <v>#REF!</v>
      </c>
      <c r="G12" s="11" t="e">
        <f>#REF!</f>
        <v>#REF!</v>
      </c>
      <c r="H12" s="11" t="e">
        <f>#REF!</f>
        <v>#REF!</v>
      </c>
      <c r="I12" s="11" t="e">
        <f>#REF!</f>
        <v>#REF!</v>
      </c>
      <c r="J12" s="16" t="e">
        <f>#REF!</f>
        <v>#REF!</v>
      </c>
      <c r="K12" s="16" t="e">
        <f>#REF!</f>
        <v>#REF!</v>
      </c>
      <c r="L12" s="16" t="e">
        <f>#REF!</f>
        <v>#REF!</v>
      </c>
      <c r="M12" s="16" t="e">
        <f>#REF!</f>
        <v>#REF!</v>
      </c>
      <c r="N12" s="18" t="e">
        <f>#REF!</f>
        <v>#REF!</v>
      </c>
      <c r="O12" s="16" t="e">
        <f>#REF!</f>
        <v>#REF!</v>
      </c>
      <c r="P12" s="11" t="e">
        <f>#REF!</f>
        <v>#REF!</v>
      </c>
      <c r="Q12" s="16" t="e">
        <f>#REF!</f>
        <v>#REF!</v>
      </c>
      <c r="R12" s="16" t="e">
        <f>#REF!</f>
        <v>#REF!</v>
      </c>
      <c r="S12" s="16" t="e">
        <f>#REF!</f>
        <v>#REF!</v>
      </c>
      <c r="T12" s="16" t="e">
        <f>#REF!</f>
        <v>#REF!</v>
      </c>
      <c r="U12" s="16" t="e">
        <f>#REF!</f>
        <v>#REF!</v>
      </c>
      <c r="V12" s="16" t="e">
        <f>#REF!</f>
        <v>#REF!</v>
      </c>
      <c r="W12" s="18" t="e">
        <f>#REF!</f>
        <v>#REF!</v>
      </c>
      <c r="X12" s="11" t="e">
        <f>#REF!</f>
        <v>#REF!</v>
      </c>
      <c r="Y12" s="11" t="e">
        <f>#REF!</f>
        <v>#REF!</v>
      </c>
      <c r="Z12" s="16" t="e">
        <f>#REF!</f>
        <v>#REF!</v>
      </c>
      <c r="AA12" s="11" t="e">
        <f>#REF!</f>
        <v>#REF!</v>
      </c>
      <c r="AB12" s="11" t="e">
        <f>#REF!</f>
        <v>#REF!</v>
      </c>
      <c r="AC12" s="11" t="e">
        <f>#REF!</f>
        <v>#REF!</v>
      </c>
      <c r="AD12" s="13"/>
      <c r="AE12" s="13"/>
      <c r="AF12" s="13"/>
      <c r="AG12" s="13"/>
      <c r="AH12" s="13"/>
    </row>
    <row r="13" spans="1:34" x14ac:dyDescent="0.2">
      <c r="A13" t="e">
        <f>#REF!</f>
        <v>#REF!</v>
      </c>
      <c r="B13" s="6" t="e">
        <f>+#REF!</f>
        <v>#REF!</v>
      </c>
      <c r="C13" s="11" t="e">
        <f t="shared" si="0"/>
        <v>#REF!</v>
      </c>
      <c r="D13" s="16" t="e">
        <f t="shared" si="1"/>
        <v>#REF!</v>
      </c>
      <c r="E13" s="18" t="e">
        <f t="shared" si="2"/>
        <v>#REF!</v>
      </c>
      <c r="F13" s="11" t="e">
        <f>#REF!</f>
        <v>#REF!</v>
      </c>
      <c r="G13" s="11" t="e">
        <f>#REF!</f>
        <v>#REF!</v>
      </c>
      <c r="H13" s="11" t="e">
        <f>#REF!</f>
        <v>#REF!</v>
      </c>
      <c r="I13" s="11" t="e">
        <f>#REF!</f>
        <v>#REF!</v>
      </c>
      <c r="J13" s="16" t="e">
        <f>#REF!</f>
        <v>#REF!</v>
      </c>
      <c r="K13" s="16" t="e">
        <f>#REF!</f>
        <v>#REF!</v>
      </c>
      <c r="L13" s="16" t="e">
        <f>#REF!</f>
        <v>#REF!</v>
      </c>
      <c r="M13" s="16" t="e">
        <f>#REF!</f>
        <v>#REF!</v>
      </c>
      <c r="N13" s="18" t="e">
        <f>#REF!</f>
        <v>#REF!</v>
      </c>
      <c r="O13" s="16" t="e">
        <f>#REF!</f>
        <v>#REF!</v>
      </c>
      <c r="P13" s="11" t="e">
        <f>#REF!</f>
        <v>#REF!</v>
      </c>
      <c r="Q13" s="16" t="e">
        <f>#REF!</f>
        <v>#REF!</v>
      </c>
      <c r="R13" s="16" t="e">
        <f>#REF!</f>
        <v>#REF!</v>
      </c>
      <c r="S13" s="16" t="e">
        <f>#REF!</f>
        <v>#REF!</v>
      </c>
      <c r="T13" s="16" t="e">
        <f>#REF!</f>
        <v>#REF!</v>
      </c>
      <c r="U13" s="16" t="e">
        <f>#REF!</f>
        <v>#REF!</v>
      </c>
      <c r="V13" s="16" t="e">
        <f>#REF!</f>
        <v>#REF!</v>
      </c>
      <c r="W13" s="18" t="e">
        <f>#REF!</f>
        <v>#REF!</v>
      </c>
      <c r="X13" s="11" t="e">
        <f>#REF!</f>
        <v>#REF!</v>
      </c>
      <c r="Y13" s="11" t="e">
        <f>#REF!</f>
        <v>#REF!</v>
      </c>
      <c r="Z13" s="16" t="e">
        <f>#REF!</f>
        <v>#REF!</v>
      </c>
      <c r="AA13" s="11" t="e">
        <f>#REF!</f>
        <v>#REF!</v>
      </c>
      <c r="AB13" s="11" t="e">
        <f>#REF!</f>
        <v>#REF!</v>
      </c>
      <c r="AC13" s="11" t="e">
        <f>#REF!</f>
        <v>#REF!</v>
      </c>
      <c r="AD13" s="13"/>
      <c r="AE13" s="13"/>
      <c r="AF13" s="13"/>
      <c r="AG13" s="13"/>
      <c r="AH13" s="13"/>
    </row>
    <row r="14" spans="1:34" x14ac:dyDescent="0.2">
      <c r="A14" t="e">
        <f>#REF!</f>
        <v>#REF!</v>
      </c>
      <c r="B14" s="6" t="e">
        <f>+#REF!</f>
        <v>#REF!</v>
      </c>
      <c r="C14" s="11" t="e">
        <f t="shared" si="0"/>
        <v>#REF!</v>
      </c>
      <c r="D14" s="16" t="e">
        <f t="shared" si="1"/>
        <v>#REF!</v>
      </c>
      <c r="E14" s="18" t="e">
        <f t="shared" si="2"/>
        <v>#REF!</v>
      </c>
      <c r="F14" s="11" t="e">
        <f>#REF!</f>
        <v>#REF!</v>
      </c>
      <c r="G14" s="11" t="e">
        <f>#REF!</f>
        <v>#REF!</v>
      </c>
      <c r="H14" s="11" t="e">
        <f>#REF!</f>
        <v>#REF!</v>
      </c>
      <c r="I14" s="11" t="e">
        <f>#REF!</f>
        <v>#REF!</v>
      </c>
      <c r="J14" s="16" t="e">
        <f>#REF!</f>
        <v>#REF!</v>
      </c>
      <c r="K14" s="16" t="e">
        <f>#REF!</f>
        <v>#REF!</v>
      </c>
      <c r="L14" s="16" t="e">
        <f>#REF!</f>
        <v>#REF!</v>
      </c>
      <c r="M14" s="16" t="e">
        <f>#REF!</f>
        <v>#REF!</v>
      </c>
      <c r="N14" s="18" t="e">
        <f>#REF!</f>
        <v>#REF!</v>
      </c>
      <c r="O14" s="16" t="e">
        <f>#REF!</f>
        <v>#REF!</v>
      </c>
      <c r="P14" s="11" t="e">
        <f>#REF!</f>
        <v>#REF!</v>
      </c>
      <c r="Q14" s="16" t="e">
        <f>#REF!</f>
        <v>#REF!</v>
      </c>
      <c r="R14" s="16" t="e">
        <f>#REF!</f>
        <v>#REF!</v>
      </c>
      <c r="S14" s="16" t="e">
        <f>#REF!</f>
        <v>#REF!</v>
      </c>
      <c r="T14" s="16" t="e">
        <f>#REF!</f>
        <v>#REF!</v>
      </c>
      <c r="U14" s="16" t="e">
        <f>#REF!</f>
        <v>#REF!</v>
      </c>
      <c r="V14" s="16" t="e">
        <f>#REF!</f>
        <v>#REF!</v>
      </c>
      <c r="W14" s="18" t="e">
        <f>#REF!</f>
        <v>#REF!</v>
      </c>
      <c r="X14" s="11" t="e">
        <f>#REF!</f>
        <v>#REF!</v>
      </c>
      <c r="Y14" s="11" t="e">
        <f>#REF!</f>
        <v>#REF!</v>
      </c>
      <c r="Z14" s="16" t="e">
        <f>#REF!</f>
        <v>#REF!</v>
      </c>
      <c r="AA14" s="11" t="e">
        <f>#REF!</f>
        <v>#REF!</v>
      </c>
      <c r="AB14" s="11" t="e">
        <f>#REF!</f>
        <v>#REF!</v>
      </c>
      <c r="AC14" s="11" t="e">
        <f>#REF!</f>
        <v>#REF!</v>
      </c>
      <c r="AD14" s="13"/>
      <c r="AE14" s="13"/>
      <c r="AF14" s="13"/>
      <c r="AG14" s="13"/>
      <c r="AH14" s="13"/>
    </row>
    <row r="15" spans="1:34" x14ac:dyDescent="0.2">
      <c r="A15" t="e">
        <f>#REF!</f>
        <v>#REF!</v>
      </c>
      <c r="B15" s="6" t="e">
        <f>+#REF!</f>
        <v>#REF!</v>
      </c>
      <c r="C15" s="11" t="e">
        <f t="shared" si="0"/>
        <v>#REF!</v>
      </c>
      <c r="D15" s="16" t="e">
        <f t="shared" si="1"/>
        <v>#REF!</v>
      </c>
      <c r="E15" s="18" t="e">
        <f t="shared" si="2"/>
        <v>#REF!</v>
      </c>
      <c r="F15" s="11" t="e">
        <f>#REF!</f>
        <v>#REF!</v>
      </c>
      <c r="G15" s="11" t="e">
        <f>#REF!</f>
        <v>#REF!</v>
      </c>
      <c r="H15" s="11" t="e">
        <f>#REF!</f>
        <v>#REF!</v>
      </c>
      <c r="I15" s="11" t="e">
        <f>#REF!</f>
        <v>#REF!</v>
      </c>
      <c r="J15" s="16" t="e">
        <f>#REF!</f>
        <v>#REF!</v>
      </c>
      <c r="K15" s="16" t="e">
        <f>#REF!</f>
        <v>#REF!</v>
      </c>
      <c r="L15" s="16" t="e">
        <f>#REF!</f>
        <v>#REF!</v>
      </c>
      <c r="M15" s="16" t="e">
        <f>#REF!</f>
        <v>#REF!</v>
      </c>
      <c r="N15" s="18" t="e">
        <f>#REF!</f>
        <v>#REF!</v>
      </c>
      <c r="O15" s="16" t="e">
        <f>#REF!</f>
        <v>#REF!</v>
      </c>
      <c r="P15" s="11" t="e">
        <f>#REF!</f>
        <v>#REF!</v>
      </c>
      <c r="Q15" s="16" t="e">
        <f>#REF!</f>
        <v>#REF!</v>
      </c>
      <c r="R15" s="16" t="e">
        <f>#REF!</f>
        <v>#REF!</v>
      </c>
      <c r="S15" s="16" t="e">
        <f>#REF!</f>
        <v>#REF!</v>
      </c>
      <c r="T15" s="16" t="e">
        <f>#REF!</f>
        <v>#REF!</v>
      </c>
      <c r="U15" s="16" t="e">
        <f>#REF!</f>
        <v>#REF!</v>
      </c>
      <c r="V15" s="16" t="e">
        <f>#REF!</f>
        <v>#REF!</v>
      </c>
      <c r="W15" s="18" t="e">
        <f>#REF!</f>
        <v>#REF!</v>
      </c>
      <c r="X15" s="11" t="e">
        <f>#REF!</f>
        <v>#REF!</v>
      </c>
      <c r="Y15" s="11" t="e">
        <f>#REF!</f>
        <v>#REF!</v>
      </c>
      <c r="Z15" s="16" t="e">
        <f>#REF!</f>
        <v>#REF!</v>
      </c>
      <c r="AA15" s="11" t="e">
        <f>#REF!</f>
        <v>#REF!</v>
      </c>
      <c r="AB15" s="11" t="e">
        <f>#REF!</f>
        <v>#REF!</v>
      </c>
      <c r="AC15" s="11" t="e">
        <f>#REF!</f>
        <v>#REF!</v>
      </c>
      <c r="AD15" s="13"/>
      <c r="AE15" s="13"/>
      <c r="AF15" s="13"/>
      <c r="AG15" s="13"/>
      <c r="AH15" s="13"/>
    </row>
    <row r="16" spans="1:34" x14ac:dyDescent="0.2">
      <c r="A16" t="e">
        <f>#REF!</f>
        <v>#REF!</v>
      </c>
      <c r="B16" s="6" t="e">
        <f>+#REF!</f>
        <v>#REF!</v>
      </c>
      <c r="C16" s="11" t="e">
        <f t="shared" si="0"/>
        <v>#REF!</v>
      </c>
      <c r="D16" s="16" t="e">
        <f t="shared" si="1"/>
        <v>#REF!</v>
      </c>
      <c r="E16" s="18" t="e">
        <f t="shared" si="2"/>
        <v>#REF!</v>
      </c>
      <c r="F16" s="11" t="e">
        <f>#REF!</f>
        <v>#REF!</v>
      </c>
      <c r="G16" s="11" t="e">
        <f>#REF!</f>
        <v>#REF!</v>
      </c>
      <c r="H16" s="11" t="e">
        <f>#REF!</f>
        <v>#REF!</v>
      </c>
      <c r="I16" s="11" t="e">
        <f>#REF!</f>
        <v>#REF!</v>
      </c>
      <c r="J16" s="16" t="e">
        <f>#REF!</f>
        <v>#REF!</v>
      </c>
      <c r="K16" s="16" t="e">
        <f>#REF!</f>
        <v>#REF!</v>
      </c>
      <c r="L16" s="16" t="e">
        <f>#REF!</f>
        <v>#REF!</v>
      </c>
      <c r="M16" s="16" t="e">
        <f>#REF!</f>
        <v>#REF!</v>
      </c>
      <c r="N16" s="18" t="e">
        <f>#REF!</f>
        <v>#REF!</v>
      </c>
      <c r="O16" s="16" t="e">
        <f>#REF!</f>
        <v>#REF!</v>
      </c>
      <c r="P16" s="11" t="e">
        <f>#REF!</f>
        <v>#REF!</v>
      </c>
      <c r="Q16" s="16" t="e">
        <f>#REF!</f>
        <v>#REF!</v>
      </c>
      <c r="R16" s="16" t="e">
        <f>#REF!</f>
        <v>#REF!</v>
      </c>
      <c r="S16" s="16" t="e">
        <f>#REF!</f>
        <v>#REF!</v>
      </c>
      <c r="T16" s="16" t="e">
        <f>#REF!</f>
        <v>#REF!</v>
      </c>
      <c r="U16" s="16" t="e">
        <f>#REF!</f>
        <v>#REF!</v>
      </c>
      <c r="V16" s="16" t="e">
        <f>#REF!</f>
        <v>#REF!</v>
      </c>
      <c r="W16" s="18" t="e">
        <f>#REF!</f>
        <v>#REF!</v>
      </c>
      <c r="X16" s="11" t="e">
        <f>#REF!</f>
        <v>#REF!</v>
      </c>
      <c r="Y16" s="11" t="e">
        <f>#REF!</f>
        <v>#REF!</v>
      </c>
      <c r="Z16" s="16" t="e">
        <f>#REF!</f>
        <v>#REF!</v>
      </c>
      <c r="AA16" s="11" t="e">
        <f>#REF!</f>
        <v>#REF!</v>
      </c>
      <c r="AB16" s="11" t="e">
        <f>#REF!</f>
        <v>#REF!</v>
      </c>
      <c r="AC16" s="11" t="e">
        <f>#REF!</f>
        <v>#REF!</v>
      </c>
      <c r="AD16" s="13"/>
      <c r="AE16" s="13"/>
      <c r="AF16" s="13"/>
      <c r="AG16" s="13"/>
      <c r="AH16" s="13"/>
    </row>
    <row r="17" spans="1:34" x14ac:dyDescent="0.2">
      <c r="A17" t="e">
        <f>#REF!</f>
        <v>#REF!</v>
      </c>
      <c r="B17" s="6" t="e">
        <f>+#REF!</f>
        <v>#REF!</v>
      </c>
      <c r="C17" s="11" t="e">
        <f t="shared" si="0"/>
        <v>#REF!</v>
      </c>
      <c r="D17" s="16" t="e">
        <f t="shared" si="1"/>
        <v>#REF!</v>
      </c>
      <c r="E17" s="18" t="e">
        <f t="shared" si="2"/>
        <v>#REF!</v>
      </c>
      <c r="F17" s="11" t="e">
        <f>#REF!</f>
        <v>#REF!</v>
      </c>
      <c r="G17" s="11" t="e">
        <f>#REF!</f>
        <v>#REF!</v>
      </c>
      <c r="H17" s="11" t="e">
        <f>#REF!</f>
        <v>#REF!</v>
      </c>
      <c r="I17" s="11" t="e">
        <f>#REF!</f>
        <v>#REF!</v>
      </c>
      <c r="J17" s="16" t="e">
        <f>#REF!</f>
        <v>#REF!</v>
      </c>
      <c r="K17" s="16" t="e">
        <f>#REF!</f>
        <v>#REF!</v>
      </c>
      <c r="L17" s="16" t="e">
        <f>#REF!</f>
        <v>#REF!</v>
      </c>
      <c r="M17" s="16" t="e">
        <f>#REF!</f>
        <v>#REF!</v>
      </c>
      <c r="N17" s="18" t="e">
        <f>#REF!</f>
        <v>#REF!</v>
      </c>
      <c r="O17" s="16" t="e">
        <f>#REF!</f>
        <v>#REF!</v>
      </c>
      <c r="P17" s="11" t="e">
        <f>#REF!</f>
        <v>#REF!</v>
      </c>
      <c r="Q17" s="16" t="e">
        <f>#REF!</f>
        <v>#REF!</v>
      </c>
      <c r="R17" s="16" t="e">
        <f>#REF!</f>
        <v>#REF!</v>
      </c>
      <c r="S17" s="16" t="e">
        <f>#REF!</f>
        <v>#REF!</v>
      </c>
      <c r="T17" s="16" t="e">
        <f>#REF!</f>
        <v>#REF!</v>
      </c>
      <c r="U17" s="16" t="e">
        <f>#REF!</f>
        <v>#REF!</v>
      </c>
      <c r="V17" s="16" t="e">
        <f>#REF!</f>
        <v>#REF!</v>
      </c>
      <c r="W17" s="18" t="e">
        <f>#REF!</f>
        <v>#REF!</v>
      </c>
      <c r="X17" s="11" t="e">
        <f>#REF!</f>
        <v>#REF!</v>
      </c>
      <c r="Y17" s="11" t="e">
        <f>#REF!</f>
        <v>#REF!</v>
      </c>
      <c r="Z17" s="16" t="e">
        <f>#REF!</f>
        <v>#REF!</v>
      </c>
      <c r="AA17" s="11" t="e">
        <f>#REF!</f>
        <v>#REF!</v>
      </c>
      <c r="AB17" s="11" t="e">
        <f>#REF!</f>
        <v>#REF!</v>
      </c>
      <c r="AC17" s="11" t="e">
        <f>#REF!</f>
        <v>#REF!</v>
      </c>
      <c r="AD17" s="13"/>
      <c r="AE17" s="13"/>
      <c r="AF17" s="13"/>
      <c r="AG17" s="13"/>
      <c r="AH17" s="13"/>
    </row>
    <row r="18" spans="1:34" x14ac:dyDescent="0.2">
      <c r="A18" t="e">
        <f>#REF!</f>
        <v>#REF!</v>
      </c>
      <c r="B18" s="6" t="e">
        <f>+#REF!</f>
        <v>#REF!</v>
      </c>
      <c r="C18" s="11" t="e">
        <f>+F18+G18+H18+I18+Q18+R18+S18+Z18+AA18+AB18+AD18+AE18+AF18</f>
        <v>#REF!</v>
      </c>
      <c r="D18" s="16" t="e">
        <f t="shared" si="1"/>
        <v>#REF!</v>
      </c>
      <c r="E18" s="18" t="e">
        <f>+O18+Y18</f>
        <v>#REF!</v>
      </c>
      <c r="F18" s="11" t="e">
        <f>#REF!</f>
        <v>#REF!</v>
      </c>
      <c r="G18" s="11" t="e">
        <f>#REF!</f>
        <v>#REF!</v>
      </c>
      <c r="H18" s="11" t="e">
        <f>#REF!</f>
        <v>#REF!</v>
      </c>
      <c r="I18" s="11" t="e">
        <f>#REF!</f>
        <v>#REF!</v>
      </c>
      <c r="J18" s="16" t="e">
        <f>#REF!</f>
        <v>#REF!</v>
      </c>
      <c r="K18" s="16" t="e">
        <f>#REF!</f>
        <v>#REF!</v>
      </c>
      <c r="L18" s="16" t="e">
        <f>#REF!</f>
        <v>#REF!</v>
      </c>
      <c r="M18" s="16" t="e">
        <f>#REF!</f>
        <v>#REF!</v>
      </c>
      <c r="N18" s="18" t="e">
        <f>#REF!</f>
        <v>#REF!</v>
      </c>
      <c r="O18" s="16" t="e">
        <f>#REF!</f>
        <v>#REF!</v>
      </c>
      <c r="P18" s="11" t="e">
        <f>#REF!</f>
        <v>#REF!</v>
      </c>
      <c r="Q18" s="16" t="e">
        <f>#REF!</f>
        <v>#REF!</v>
      </c>
      <c r="R18" s="16" t="e">
        <f>#REF!</f>
        <v>#REF!</v>
      </c>
      <c r="S18" s="16" t="e">
        <f>#REF!</f>
        <v>#REF!</v>
      </c>
      <c r="T18" s="16" t="e">
        <f>#REF!</f>
        <v>#REF!</v>
      </c>
      <c r="U18" s="16" t="e">
        <f>#REF!</f>
        <v>#REF!</v>
      </c>
      <c r="V18" s="16" t="e">
        <f>#REF!</f>
        <v>#REF!</v>
      </c>
      <c r="W18" s="18" t="e">
        <f>#REF!</f>
        <v>#REF!</v>
      </c>
      <c r="X18" s="11" t="e">
        <f>#REF!</f>
        <v>#REF!</v>
      </c>
      <c r="Y18" s="11" t="e">
        <f>#REF!</f>
        <v>#REF!</v>
      </c>
      <c r="Z18" s="16" t="e">
        <f>#REF!</f>
        <v>#REF!</v>
      </c>
      <c r="AA18" s="11" t="e">
        <f>#REF!</f>
        <v>#REF!</v>
      </c>
      <c r="AB18" s="11" t="e">
        <f>#REF!</f>
        <v>#REF!</v>
      </c>
      <c r="AC18" s="11" t="e">
        <f>#REF!</f>
        <v>#REF!</v>
      </c>
      <c r="AD18" s="13"/>
      <c r="AE18" s="13"/>
      <c r="AF18" s="13"/>
      <c r="AG18" s="13"/>
      <c r="AH18" s="13"/>
    </row>
    <row r="19" spans="1:34" x14ac:dyDescent="0.2">
      <c r="A19" t="e">
        <f>#REF!</f>
        <v>#REF!</v>
      </c>
      <c r="B19" s="6" t="e">
        <f>+#REF!</f>
        <v>#REF!</v>
      </c>
      <c r="C19" s="11" t="e">
        <f>SUM(C9:C17)</f>
        <v>#REF!</v>
      </c>
      <c r="D19" s="16" t="e">
        <f t="shared" si="1"/>
        <v>#REF!</v>
      </c>
      <c r="E19" s="18" t="e">
        <f>SUM(E9:E18)</f>
        <v>#REF!</v>
      </c>
      <c r="F19" s="11" t="e">
        <f>#REF!</f>
        <v>#REF!</v>
      </c>
      <c r="G19" s="11" t="e">
        <f>#REF!</f>
        <v>#REF!</v>
      </c>
      <c r="H19" s="11" t="e">
        <f>#REF!</f>
        <v>#REF!</v>
      </c>
      <c r="I19" s="11" t="e">
        <f>#REF!</f>
        <v>#REF!</v>
      </c>
      <c r="J19" s="16" t="e">
        <f>#REF!</f>
        <v>#REF!</v>
      </c>
      <c r="K19" s="16" t="e">
        <f>#REF!</f>
        <v>#REF!</v>
      </c>
      <c r="L19" s="16" t="e">
        <f>#REF!</f>
        <v>#REF!</v>
      </c>
      <c r="M19" s="16" t="e">
        <f>#REF!</f>
        <v>#REF!</v>
      </c>
      <c r="N19" s="18" t="e">
        <f>#REF!</f>
        <v>#REF!</v>
      </c>
      <c r="O19" s="16" t="e">
        <f>#REF!</f>
        <v>#REF!</v>
      </c>
      <c r="P19" s="11" t="e">
        <f>#REF!</f>
        <v>#REF!</v>
      </c>
      <c r="Q19" s="16" t="e">
        <f>#REF!</f>
        <v>#REF!</v>
      </c>
      <c r="R19" s="16" t="e">
        <f>#REF!</f>
        <v>#REF!</v>
      </c>
      <c r="S19" s="16" t="e">
        <f>#REF!</f>
        <v>#REF!</v>
      </c>
      <c r="T19" s="16" t="e">
        <f>#REF!</f>
        <v>#REF!</v>
      </c>
      <c r="U19" s="16" t="e">
        <f>#REF!</f>
        <v>#REF!</v>
      </c>
      <c r="V19" s="16" t="e">
        <f>#REF!</f>
        <v>#REF!</v>
      </c>
      <c r="W19" s="18" t="e">
        <f>#REF!</f>
        <v>#REF!</v>
      </c>
      <c r="X19" s="11" t="e">
        <f>#REF!</f>
        <v>#REF!</v>
      </c>
      <c r="Y19" s="11" t="e">
        <f>#REF!</f>
        <v>#REF!</v>
      </c>
      <c r="Z19" s="16" t="e">
        <f>#REF!</f>
        <v>#REF!</v>
      </c>
      <c r="AA19" s="11" t="e">
        <f>#REF!</f>
        <v>#REF!</v>
      </c>
      <c r="AB19" s="11" t="e">
        <f>#REF!</f>
        <v>#REF!</v>
      </c>
      <c r="AC19" s="11" t="e">
        <f>#REF!</f>
        <v>#REF!</v>
      </c>
      <c r="AD19" s="13"/>
      <c r="AE19" s="13"/>
      <c r="AF19" s="13"/>
      <c r="AG19" s="13"/>
      <c r="AH19" s="13"/>
    </row>
    <row r="20" spans="1:34" x14ac:dyDescent="0.2">
      <c r="A20" t="e">
        <f>#REF!</f>
        <v>#REF!</v>
      </c>
      <c r="B20" s="6" t="e">
        <f>+#REF!</f>
        <v>#REF!</v>
      </c>
      <c r="C20" s="11" t="e">
        <f>+F20+G20+H20+I20+P20+X20+Y20+AA20+AB20+AC20</f>
        <v>#REF!</v>
      </c>
      <c r="D20" s="16" t="e">
        <f t="shared" si="1"/>
        <v>#REF!</v>
      </c>
      <c r="E20" s="18" t="e">
        <f>+N20+W20</f>
        <v>#REF!</v>
      </c>
      <c r="F20" s="11" t="e">
        <f>#REF!</f>
        <v>#REF!</v>
      </c>
      <c r="G20" s="11" t="e">
        <f>#REF!</f>
        <v>#REF!</v>
      </c>
      <c r="H20" s="11" t="e">
        <f>#REF!</f>
        <v>#REF!</v>
      </c>
      <c r="I20" s="11" t="e">
        <f>#REF!</f>
        <v>#REF!</v>
      </c>
      <c r="J20" s="16" t="e">
        <f>#REF!</f>
        <v>#REF!</v>
      </c>
      <c r="K20" s="16" t="e">
        <f>#REF!</f>
        <v>#REF!</v>
      </c>
      <c r="L20" s="16" t="e">
        <f>#REF!</f>
        <v>#REF!</v>
      </c>
      <c r="M20" s="16" t="e">
        <f>#REF!</f>
        <v>#REF!</v>
      </c>
      <c r="N20" s="18" t="e">
        <f>#REF!</f>
        <v>#REF!</v>
      </c>
      <c r="O20" s="16" t="e">
        <f>#REF!</f>
        <v>#REF!</v>
      </c>
      <c r="P20" s="11" t="e">
        <f>#REF!</f>
        <v>#REF!</v>
      </c>
      <c r="Q20" s="16" t="e">
        <f>#REF!</f>
        <v>#REF!</v>
      </c>
      <c r="R20" s="16" t="e">
        <f>#REF!</f>
        <v>#REF!</v>
      </c>
      <c r="S20" s="16" t="e">
        <f>#REF!</f>
        <v>#REF!</v>
      </c>
      <c r="T20" s="16" t="e">
        <f>#REF!</f>
        <v>#REF!</v>
      </c>
      <c r="U20" s="16" t="e">
        <f>#REF!</f>
        <v>#REF!</v>
      </c>
      <c r="V20" s="16" t="e">
        <f>#REF!</f>
        <v>#REF!</v>
      </c>
      <c r="W20" s="18" t="e">
        <f>#REF!</f>
        <v>#REF!</v>
      </c>
      <c r="X20" s="11" t="e">
        <f>#REF!</f>
        <v>#REF!</v>
      </c>
      <c r="Y20" s="11" t="e">
        <f>#REF!</f>
        <v>#REF!</v>
      </c>
      <c r="Z20" s="16" t="e">
        <f>#REF!</f>
        <v>#REF!</v>
      </c>
      <c r="AA20" s="11" t="e">
        <f>#REF!</f>
        <v>#REF!</v>
      </c>
      <c r="AB20" s="11" t="e">
        <f>#REF!</f>
        <v>#REF!</v>
      </c>
      <c r="AC20" s="11" t="e">
        <f>#REF!</f>
        <v>#REF!</v>
      </c>
      <c r="AD20" s="13"/>
      <c r="AE20" s="13"/>
      <c r="AF20" s="13"/>
      <c r="AG20" s="13"/>
      <c r="AH20" s="13"/>
    </row>
    <row r="21" spans="1:34" x14ac:dyDescent="0.2">
      <c r="A21" t="e">
        <f>#REF!</f>
        <v>#REF!</v>
      </c>
      <c r="B21" s="6" t="e">
        <f>+#REF!</f>
        <v>#REF!</v>
      </c>
      <c r="C21" s="11" t="e">
        <f>+F21+G21+H21+I21+P21+X21+Y21+AA21+AB21+AC21</f>
        <v>#REF!</v>
      </c>
      <c r="D21" s="16" t="e">
        <f t="shared" si="1"/>
        <v>#REF!</v>
      </c>
      <c r="E21" s="18" t="e">
        <f>+N21+W21</f>
        <v>#REF!</v>
      </c>
      <c r="F21" s="11" t="e">
        <f>#REF!</f>
        <v>#REF!</v>
      </c>
      <c r="G21" s="11" t="e">
        <f>#REF!</f>
        <v>#REF!</v>
      </c>
      <c r="H21" s="11" t="e">
        <f>#REF!</f>
        <v>#REF!</v>
      </c>
      <c r="I21" s="11" t="e">
        <f>#REF!</f>
        <v>#REF!</v>
      </c>
      <c r="J21" s="16" t="e">
        <f>#REF!</f>
        <v>#REF!</v>
      </c>
      <c r="K21" s="16" t="e">
        <f>#REF!</f>
        <v>#REF!</v>
      </c>
      <c r="L21" s="16" t="e">
        <f>#REF!</f>
        <v>#REF!</v>
      </c>
      <c r="M21" s="16" t="e">
        <f>#REF!</f>
        <v>#REF!</v>
      </c>
      <c r="N21" s="18" t="e">
        <f>#REF!</f>
        <v>#REF!</v>
      </c>
      <c r="O21" s="16" t="e">
        <f>#REF!</f>
        <v>#REF!</v>
      </c>
      <c r="P21" s="11" t="e">
        <f>#REF!</f>
        <v>#REF!</v>
      </c>
      <c r="Q21" s="16" t="e">
        <f>#REF!</f>
        <v>#REF!</v>
      </c>
      <c r="R21" s="16" t="e">
        <f>#REF!</f>
        <v>#REF!</v>
      </c>
      <c r="S21" s="16" t="e">
        <f>#REF!</f>
        <v>#REF!</v>
      </c>
      <c r="T21" s="16" t="e">
        <f>#REF!</f>
        <v>#REF!</v>
      </c>
      <c r="U21" s="16" t="e">
        <f>#REF!</f>
        <v>#REF!</v>
      </c>
      <c r="V21" s="16" t="e">
        <f>#REF!</f>
        <v>#REF!</v>
      </c>
      <c r="W21" s="18" t="e">
        <f>#REF!</f>
        <v>#REF!</v>
      </c>
      <c r="X21" s="11" t="e">
        <f>#REF!</f>
        <v>#REF!</v>
      </c>
      <c r="Y21" s="11" t="e">
        <f>#REF!</f>
        <v>#REF!</v>
      </c>
      <c r="Z21" s="16" t="e">
        <f>#REF!</f>
        <v>#REF!</v>
      </c>
      <c r="AA21" s="11" t="e">
        <f>#REF!</f>
        <v>#REF!</v>
      </c>
      <c r="AB21" s="11" t="e">
        <f>#REF!</f>
        <v>#REF!</v>
      </c>
      <c r="AC21" s="11" t="e">
        <f>#REF!</f>
        <v>#REF!</v>
      </c>
      <c r="AD21" s="13"/>
      <c r="AE21" s="13"/>
      <c r="AF21" s="13"/>
      <c r="AG21" s="13"/>
      <c r="AH21" s="13"/>
    </row>
    <row r="22" spans="1:34" x14ac:dyDescent="0.2">
      <c r="A22" t="e">
        <f>#REF!</f>
        <v>#REF!</v>
      </c>
      <c r="B22" s="6" t="e">
        <f>+#REF!</f>
        <v>#REF!</v>
      </c>
      <c r="C22" s="11" t="e">
        <f>+F22+G22+H22+I22+P22+X22+Y22+AA22+AB22+AC22</f>
        <v>#REF!</v>
      </c>
      <c r="D22" s="16" t="e">
        <f t="shared" si="1"/>
        <v>#REF!</v>
      </c>
      <c r="E22" s="18" t="e">
        <f>+N22+W22</f>
        <v>#REF!</v>
      </c>
      <c r="F22" s="11" t="e">
        <f>#REF!</f>
        <v>#REF!</v>
      </c>
      <c r="G22" s="11" t="e">
        <f>#REF!</f>
        <v>#REF!</v>
      </c>
      <c r="H22" s="11" t="e">
        <f>#REF!</f>
        <v>#REF!</v>
      </c>
      <c r="I22" s="11" t="e">
        <f>#REF!</f>
        <v>#REF!</v>
      </c>
      <c r="J22" s="16" t="e">
        <f>#REF!</f>
        <v>#REF!</v>
      </c>
      <c r="K22" s="16" t="e">
        <f>#REF!</f>
        <v>#REF!</v>
      </c>
      <c r="L22" s="16" t="e">
        <f>#REF!</f>
        <v>#REF!</v>
      </c>
      <c r="M22" s="16" t="e">
        <f>#REF!</f>
        <v>#REF!</v>
      </c>
      <c r="N22" s="18" t="e">
        <f>#REF!</f>
        <v>#REF!</v>
      </c>
      <c r="O22" s="16" t="e">
        <f>#REF!</f>
        <v>#REF!</v>
      </c>
      <c r="P22" s="11" t="e">
        <f>#REF!</f>
        <v>#REF!</v>
      </c>
      <c r="Q22" s="16" t="e">
        <f>#REF!</f>
        <v>#REF!</v>
      </c>
      <c r="R22" s="16" t="e">
        <f>#REF!</f>
        <v>#REF!</v>
      </c>
      <c r="S22" s="16" t="e">
        <f>#REF!</f>
        <v>#REF!</v>
      </c>
      <c r="T22" s="16" t="e">
        <f>#REF!</f>
        <v>#REF!</v>
      </c>
      <c r="U22" s="16" t="e">
        <f>#REF!</f>
        <v>#REF!</v>
      </c>
      <c r="V22" s="16" t="e">
        <f>#REF!</f>
        <v>#REF!</v>
      </c>
      <c r="W22" s="18" t="e">
        <f>#REF!</f>
        <v>#REF!</v>
      </c>
      <c r="X22" s="11" t="e">
        <f>#REF!</f>
        <v>#REF!</v>
      </c>
      <c r="Y22" s="11" t="e">
        <f>#REF!</f>
        <v>#REF!</v>
      </c>
      <c r="Z22" s="16" t="e">
        <f>#REF!</f>
        <v>#REF!</v>
      </c>
      <c r="AA22" s="11" t="e">
        <f>#REF!</f>
        <v>#REF!</v>
      </c>
      <c r="AB22" s="11" t="e">
        <f>#REF!</f>
        <v>#REF!</v>
      </c>
      <c r="AC22" s="11" t="e">
        <f>#REF!</f>
        <v>#REF!</v>
      </c>
      <c r="AD22" s="13"/>
      <c r="AE22" s="13"/>
      <c r="AF22" s="13"/>
      <c r="AG22" s="13"/>
      <c r="AH22" s="13"/>
    </row>
    <row r="23" spans="1:34" x14ac:dyDescent="0.2">
      <c r="A23" t="e">
        <f>#REF!</f>
        <v>#REF!</v>
      </c>
      <c r="B23" s="6" t="e">
        <f>+#REF!</f>
        <v>#REF!</v>
      </c>
      <c r="C23" s="11" t="e">
        <f>+F23+G23+H23+I23+P23+X23+Y23+AA23+AB23+AC23</f>
        <v>#REF!</v>
      </c>
      <c r="D23" s="16" t="e">
        <f t="shared" si="1"/>
        <v>#REF!</v>
      </c>
      <c r="E23" s="18" t="e">
        <f>+N23+W23</f>
        <v>#REF!</v>
      </c>
      <c r="F23" s="11" t="e">
        <f>#REF!</f>
        <v>#REF!</v>
      </c>
      <c r="G23" s="11" t="e">
        <f>#REF!</f>
        <v>#REF!</v>
      </c>
      <c r="H23" s="11" t="e">
        <f>#REF!</f>
        <v>#REF!</v>
      </c>
      <c r="I23" s="11" t="e">
        <f>#REF!</f>
        <v>#REF!</v>
      </c>
      <c r="J23" s="16" t="e">
        <f>#REF!</f>
        <v>#REF!</v>
      </c>
      <c r="K23" s="16" t="e">
        <f>#REF!</f>
        <v>#REF!</v>
      </c>
      <c r="L23" s="16" t="e">
        <f>#REF!</f>
        <v>#REF!</v>
      </c>
      <c r="M23" s="16" t="e">
        <f>#REF!</f>
        <v>#REF!</v>
      </c>
      <c r="N23" s="18" t="e">
        <f>#REF!</f>
        <v>#REF!</v>
      </c>
      <c r="O23" s="16" t="e">
        <f>#REF!</f>
        <v>#REF!</v>
      </c>
      <c r="P23" s="11" t="e">
        <f>#REF!</f>
        <v>#REF!</v>
      </c>
      <c r="Q23" s="16" t="e">
        <f>#REF!</f>
        <v>#REF!</v>
      </c>
      <c r="R23" s="16" t="e">
        <f>#REF!</f>
        <v>#REF!</v>
      </c>
      <c r="S23" s="16" t="e">
        <f>#REF!</f>
        <v>#REF!</v>
      </c>
      <c r="T23" s="16" t="e">
        <f>#REF!</f>
        <v>#REF!</v>
      </c>
      <c r="U23" s="16" t="e">
        <f>#REF!</f>
        <v>#REF!</v>
      </c>
      <c r="V23" s="16" t="e">
        <f>#REF!</f>
        <v>#REF!</v>
      </c>
      <c r="W23" s="18" t="e">
        <f>#REF!</f>
        <v>#REF!</v>
      </c>
      <c r="X23" s="11" t="e">
        <f>#REF!</f>
        <v>#REF!</v>
      </c>
      <c r="Y23" s="11" t="e">
        <f>#REF!</f>
        <v>#REF!</v>
      </c>
      <c r="Z23" s="16" t="e">
        <f>#REF!</f>
        <v>#REF!</v>
      </c>
      <c r="AA23" s="11" t="e">
        <f>#REF!</f>
        <v>#REF!</v>
      </c>
      <c r="AB23" s="11" t="e">
        <f>#REF!</f>
        <v>#REF!</v>
      </c>
      <c r="AC23" s="11" t="e">
        <f>#REF!</f>
        <v>#REF!</v>
      </c>
      <c r="AD23" s="13"/>
      <c r="AE23" s="13"/>
      <c r="AF23" s="13"/>
      <c r="AG23" s="13"/>
      <c r="AH23" s="13"/>
    </row>
    <row r="24" spans="1:34" x14ac:dyDescent="0.2">
      <c r="A24" t="e">
        <f>#REF!</f>
        <v>#REF!</v>
      </c>
      <c r="B24" s="6" t="e">
        <f>+#REF!</f>
        <v>#REF!</v>
      </c>
      <c r="C24" s="11" t="e">
        <f>+F24+G24+H24+I24+P24+X24+Y24+AA24+AB24+AC24</f>
        <v>#REF!</v>
      </c>
      <c r="D24" s="16" t="e">
        <f t="shared" si="1"/>
        <v>#REF!</v>
      </c>
      <c r="E24" s="18" t="e">
        <f>+N24+W24</f>
        <v>#REF!</v>
      </c>
      <c r="F24" s="11" t="e">
        <f>#REF!</f>
        <v>#REF!</v>
      </c>
      <c r="G24" s="11" t="e">
        <f>#REF!</f>
        <v>#REF!</v>
      </c>
      <c r="H24" s="11" t="e">
        <f>#REF!</f>
        <v>#REF!</v>
      </c>
      <c r="I24" s="11" t="e">
        <f>#REF!</f>
        <v>#REF!</v>
      </c>
      <c r="J24" s="16" t="e">
        <f>#REF!</f>
        <v>#REF!</v>
      </c>
      <c r="K24" s="16" t="e">
        <f>#REF!</f>
        <v>#REF!</v>
      </c>
      <c r="L24" s="16" t="e">
        <f>#REF!</f>
        <v>#REF!</v>
      </c>
      <c r="M24" s="16" t="e">
        <f>#REF!</f>
        <v>#REF!</v>
      </c>
      <c r="N24" s="18" t="e">
        <f>#REF!</f>
        <v>#REF!</v>
      </c>
      <c r="O24" s="16" t="e">
        <f>#REF!</f>
        <v>#REF!</v>
      </c>
      <c r="P24" s="11" t="e">
        <f>#REF!</f>
        <v>#REF!</v>
      </c>
      <c r="Q24" s="16" t="e">
        <f>#REF!</f>
        <v>#REF!</v>
      </c>
      <c r="R24" s="16" t="e">
        <f>#REF!</f>
        <v>#REF!</v>
      </c>
      <c r="S24" s="16" t="e">
        <f>#REF!</f>
        <v>#REF!</v>
      </c>
      <c r="T24" s="16" t="e">
        <f>#REF!</f>
        <v>#REF!</v>
      </c>
      <c r="U24" s="16" t="e">
        <f>#REF!</f>
        <v>#REF!</v>
      </c>
      <c r="V24" s="16" t="e">
        <f>#REF!</f>
        <v>#REF!</v>
      </c>
      <c r="W24" s="18" t="e">
        <f>#REF!</f>
        <v>#REF!</v>
      </c>
      <c r="X24" s="11" t="e">
        <f>#REF!</f>
        <v>#REF!</v>
      </c>
      <c r="Y24" s="11" t="e">
        <f>#REF!</f>
        <v>#REF!</v>
      </c>
      <c r="Z24" s="16" t="e">
        <f>#REF!</f>
        <v>#REF!</v>
      </c>
      <c r="AA24" s="11" t="e">
        <f>#REF!</f>
        <v>#REF!</v>
      </c>
      <c r="AB24" s="11" t="e">
        <f>#REF!</f>
        <v>#REF!</v>
      </c>
      <c r="AC24" s="11" t="e">
        <f>#REF!</f>
        <v>#REF!</v>
      </c>
      <c r="AD24" s="13"/>
      <c r="AE24" s="13"/>
      <c r="AF24" s="13"/>
      <c r="AG24" s="13"/>
      <c r="AH24" s="13"/>
    </row>
    <row r="25" spans="1:34" x14ac:dyDescent="0.2">
      <c r="A25" t="e">
        <f>#REF!</f>
        <v>#REF!</v>
      </c>
      <c r="B25" s="6" t="e">
        <f>+#REF!</f>
        <v>#REF!</v>
      </c>
      <c r="C25" s="11" t="e">
        <f>+F25+G25+H25+I25+Q25+R25+S25+Z25+AA25+AB25+AD25+AE25+AF25</f>
        <v>#REF!</v>
      </c>
      <c r="D25" s="16" t="e">
        <f t="shared" si="1"/>
        <v>#REF!</v>
      </c>
      <c r="E25" s="18" t="e">
        <f>+O25+Y25</f>
        <v>#REF!</v>
      </c>
      <c r="F25" s="11" t="e">
        <f>#REF!</f>
        <v>#REF!</v>
      </c>
      <c r="G25" s="11" t="e">
        <f>#REF!</f>
        <v>#REF!</v>
      </c>
      <c r="H25" s="11" t="e">
        <f>#REF!</f>
        <v>#REF!</v>
      </c>
      <c r="I25" s="11" t="e">
        <f>#REF!</f>
        <v>#REF!</v>
      </c>
      <c r="J25" s="16" t="e">
        <f>#REF!</f>
        <v>#REF!</v>
      </c>
      <c r="K25" s="16" t="e">
        <f>#REF!</f>
        <v>#REF!</v>
      </c>
      <c r="L25" s="16" t="e">
        <f>#REF!</f>
        <v>#REF!</v>
      </c>
      <c r="M25" s="16" t="e">
        <f>#REF!</f>
        <v>#REF!</v>
      </c>
      <c r="N25" s="18" t="e">
        <f>#REF!</f>
        <v>#REF!</v>
      </c>
      <c r="O25" s="16" t="e">
        <f>#REF!</f>
        <v>#REF!</v>
      </c>
      <c r="P25" s="11" t="e">
        <f>#REF!</f>
        <v>#REF!</v>
      </c>
      <c r="Q25" s="16" t="e">
        <f>#REF!</f>
        <v>#REF!</v>
      </c>
      <c r="R25" s="16" t="e">
        <f>#REF!</f>
        <v>#REF!</v>
      </c>
      <c r="S25" s="16" t="e">
        <f>#REF!</f>
        <v>#REF!</v>
      </c>
      <c r="T25" s="16" t="e">
        <f>#REF!</f>
        <v>#REF!</v>
      </c>
      <c r="U25" s="16" t="e">
        <f>#REF!</f>
        <v>#REF!</v>
      </c>
      <c r="V25" s="16" t="e">
        <f>#REF!</f>
        <v>#REF!</v>
      </c>
      <c r="W25" s="18" t="e">
        <f>#REF!</f>
        <v>#REF!</v>
      </c>
      <c r="X25" s="11" t="e">
        <f>#REF!</f>
        <v>#REF!</v>
      </c>
      <c r="Y25" s="11" t="e">
        <f>#REF!</f>
        <v>#REF!</v>
      </c>
      <c r="Z25" s="16" t="e">
        <f>#REF!</f>
        <v>#REF!</v>
      </c>
      <c r="AA25" s="11" t="e">
        <f>#REF!</f>
        <v>#REF!</v>
      </c>
      <c r="AB25" s="11" t="e">
        <f>#REF!</f>
        <v>#REF!</v>
      </c>
      <c r="AC25" s="11" t="e">
        <f>#REF!</f>
        <v>#REF!</v>
      </c>
      <c r="AD25" s="13"/>
      <c r="AE25" s="13"/>
      <c r="AF25" s="13"/>
      <c r="AG25" s="13"/>
      <c r="AH25" s="13"/>
    </row>
    <row r="26" spans="1:34" x14ac:dyDescent="0.2">
      <c r="A26" t="e">
        <f>#REF!</f>
        <v>#REF!</v>
      </c>
      <c r="B26" s="6" t="e">
        <f>+#REF!</f>
        <v>#REF!</v>
      </c>
      <c r="C26" s="11" t="e">
        <f>SUM(C19:C24)</f>
        <v>#REF!</v>
      </c>
      <c r="D26" s="16" t="e">
        <f t="shared" si="1"/>
        <v>#REF!</v>
      </c>
      <c r="E26" s="18" t="e">
        <f>SUM(E19:E25)</f>
        <v>#REF!</v>
      </c>
      <c r="F26" s="11" t="e">
        <f>#REF!</f>
        <v>#REF!</v>
      </c>
      <c r="G26" s="11" t="e">
        <f>#REF!</f>
        <v>#REF!</v>
      </c>
      <c r="H26" s="11" t="e">
        <f>#REF!</f>
        <v>#REF!</v>
      </c>
      <c r="I26" s="11" t="e">
        <f>#REF!</f>
        <v>#REF!</v>
      </c>
      <c r="J26" s="16" t="e">
        <f>#REF!</f>
        <v>#REF!</v>
      </c>
      <c r="K26" s="16" t="e">
        <f>#REF!</f>
        <v>#REF!</v>
      </c>
      <c r="L26" s="16" t="e">
        <f>#REF!</f>
        <v>#REF!</v>
      </c>
      <c r="M26" s="16" t="e">
        <f>#REF!</f>
        <v>#REF!</v>
      </c>
      <c r="N26" s="18" t="e">
        <f>#REF!</f>
        <v>#REF!</v>
      </c>
      <c r="O26" s="16" t="e">
        <f>#REF!</f>
        <v>#REF!</v>
      </c>
      <c r="P26" s="11" t="e">
        <f>#REF!</f>
        <v>#REF!</v>
      </c>
      <c r="Q26" s="16" t="e">
        <f>#REF!</f>
        <v>#REF!</v>
      </c>
      <c r="R26" s="16" t="e">
        <f>#REF!</f>
        <v>#REF!</v>
      </c>
      <c r="S26" s="16" t="e">
        <f>#REF!</f>
        <v>#REF!</v>
      </c>
      <c r="T26" s="16" t="e">
        <f>#REF!</f>
        <v>#REF!</v>
      </c>
      <c r="U26" s="16" t="e">
        <f>#REF!</f>
        <v>#REF!</v>
      </c>
      <c r="V26" s="16" t="e">
        <f>#REF!</f>
        <v>#REF!</v>
      </c>
      <c r="W26" s="18" t="e">
        <f>#REF!</f>
        <v>#REF!</v>
      </c>
      <c r="X26" s="11" t="e">
        <f>#REF!</f>
        <v>#REF!</v>
      </c>
      <c r="Y26" s="11" t="e">
        <f>#REF!</f>
        <v>#REF!</v>
      </c>
      <c r="Z26" s="16" t="e">
        <f>#REF!</f>
        <v>#REF!</v>
      </c>
      <c r="AA26" s="11" t="e">
        <f>#REF!</f>
        <v>#REF!</v>
      </c>
      <c r="AB26" s="11" t="e">
        <f>#REF!</f>
        <v>#REF!</v>
      </c>
      <c r="AC26" s="11" t="e">
        <f>#REF!</f>
        <v>#REF!</v>
      </c>
      <c r="AD26" s="13"/>
      <c r="AE26" s="13"/>
      <c r="AF26" s="13"/>
      <c r="AG26" s="13"/>
      <c r="AH26" s="13"/>
    </row>
    <row r="27" spans="1:34" x14ac:dyDescent="0.2">
      <c r="A27" t="e">
        <f>#REF!</f>
        <v>#REF!</v>
      </c>
      <c r="B27" s="6" t="e">
        <f>+#REF!</f>
        <v>#REF!</v>
      </c>
      <c r="C27" s="11" t="e">
        <f>+F27+G27+H27+I27+Q27+R27+S27+Z27+AA27+AB27+AD27+AE27+AF27</f>
        <v>#REF!</v>
      </c>
      <c r="D27" s="16" t="e">
        <f t="shared" si="1"/>
        <v>#REF!</v>
      </c>
      <c r="E27" s="18" t="e">
        <f>+O27+Y27</f>
        <v>#REF!</v>
      </c>
      <c r="F27" s="11" t="e">
        <f>#REF!</f>
        <v>#REF!</v>
      </c>
      <c r="G27" s="11" t="e">
        <f>#REF!</f>
        <v>#REF!</v>
      </c>
      <c r="H27" s="11" t="e">
        <f>#REF!</f>
        <v>#REF!</v>
      </c>
      <c r="I27" s="11" t="e">
        <f>#REF!</f>
        <v>#REF!</v>
      </c>
      <c r="J27" s="16" t="e">
        <f>#REF!</f>
        <v>#REF!</v>
      </c>
      <c r="K27" s="16" t="e">
        <f>#REF!</f>
        <v>#REF!</v>
      </c>
      <c r="L27" s="16" t="e">
        <f>#REF!</f>
        <v>#REF!</v>
      </c>
      <c r="M27" s="16" t="e">
        <f>#REF!</f>
        <v>#REF!</v>
      </c>
      <c r="N27" s="18" t="e">
        <f>#REF!</f>
        <v>#REF!</v>
      </c>
      <c r="O27" s="16" t="e">
        <f>#REF!</f>
        <v>#REF!</v>
      </c>
      <c r="P27" s="11" t="e">
        <f>#REF!</f>
        <v>#REF!</v>
      </c>
      <c r="Q27" s="16" t="e">
        <f>#REF!</f>
        <v>#REF!</v>
      </c>
      <c r="R27" s="16" t="e">
        <f>#REF!</f>
        <v>#REF!</v>
      </c>
      <c r="S27" s="16" t="e">
        <f>#REF!</f>
        <v>#REF!</v>
      </c>
      <c r="T27" s="16" t="e">
        <f>#REF!</f>
        <v>#REF!</v>
      </c>
      <c r="U27" s="16" t="e">
        <f>#REF!</f>
        <v>#REF!</v>
      </c>
      <c r="V27" s="16" t="e">
        <f>#REF!</f>
        <v>#REF!</v>
      </c>
      <c r="W27" s="18" t="e">
        <f>#REF!</f>
        <v>#REF!</v>
      </c>
      <c r="X27" s="11" t="e">
        <f>#REF!</f>
        <v>#REF!</v>
      </c>
      <c r="Y27" s="11" t="e">
        <f>#REF!</f>
        <v>#REF!</v>
      </c>
      <c r="Z27" s="16" t="e">
        <f>#REF!</f>
        <v>#REF!</v>
      </c>
      <c r="AA27" s="11" t="e">
        <f>#REF!</f>
        <v>#REF!</v>
      </c>
      <c r="AB27" s="11" t="e">
        <f>#REF!</f>
        <v>#REF!</v>
      </c>
      <c r="AC27" s="11" t="e">
        <f>#REF!</f>
        <v>#REF!</v>
      </c>
      <c r="AD27" s="13"/>
      <c r="AE27" s="13"/>
      <c r="AF27" s="13"/>
      <c r="AG27" s="13"/>
      <c r="AH27" s="13"/>
    </row>
    <row r="28" spans="1:34" x14ac:dyDescent="0.2">
      <c r="A28" t="s">
        <v>0</v>
      </c>
      <c r="B28" s="6" t="e">
        <f>+#REF!</f>
        <v>#REF!</v>
      </c>
      <c r="C28" s="11" t="e">
        <f>+F28+G28+H28+I28+Q28+R28+S28+Z28+AA28+AB28+AD28+AE28+AF28</f>
        <v>#REF!</v>
      </c>
      <c r="D28" s="16" t="e">
        <f t="shared" si="1"/>
        <v>#REF!</v>
      </c>
      <c r="E28" s="18" t="e">
        <f>+O28+Y28</f>
        <v>#REF!</v>
      </c>
      <c r="F28" s="11" t="e">
        <f>#REF!</f>
        <v>#REF!</v>
      </c>
      <c r="G28" s="11" t="e">
        <f>#REF!</f>
        <v>#REF!</v>
      </c>
      <c r="H28" s="11" t="e">
        <f>#REF!</f>
        <v>#REF!</v>
      </c>
      <c r="I28" s="11" t="e">
        <f>#REF!</f>
        <v>#REF!</v>
      </c>
      <c r="J28" s="16" t="e">
        <f>#REF!</f>
        <v>#REF!</v>
      </c>
      <c r="K28" s="16" t="e">
        <f>#REF!</f>
        <v>#REF!</v>
      </c>
      <c r="L28" s="16" t="e">
        <f>#REF!</f>
        <v>#REF!</v>
      </c>
      <c r="M28" s="16" t="e">
        <f>#REF!</f>
        <v>#REF!</v>
      </c>
      <c r="N28" s="18" t="e">
        <f>#REF!</f>
        <v>#REF!</v>
      </c>
      <c r="O28" s="16" t="e">
        <f>#REF!</f>
        <v>#REF!</v>
      </c>
      <c r="P28" s="11" t="e">
        <f>#REF!</f>
        <v>#REF!</v>
      </c>
      <c r="Q28" s="16" t="e">
        <f>#REF!</f>
        <v>#REF!</v>
      </c>
      <c r="R28" s="16" t="e">
        <f>#REF!</f>
        <v>#REF!</v>
      </c>
      <c r="S28" s="16" t="e">
        <f>#REF!</f>
        <v>#REF!</v>
      </c>
      <c r="T28" s="16" t="e">
        <f>#REF!</f>
        <v>#REF!</v>
      </c>
      <c r="U28" s="16" t="e">
        <f>#REF!</f>
        <v>#REF!</v>
      </c>
      <c r="V28" s="16" t="e">
        <f>#REF!</f>
        <v>#REF!</v>
      </c>
      <c r="W28" s="18" t="e">
        <f>#REF!</f>
        <v>#REF!</v>
      </c>
      <c r="X28" s="11" t="e">
        <f>#REF!</f>
        <v>#REF!</v>
      </c>
      <c r="Y28" s="11" t="e">
        <f>#REF!</f>
        <v>#REF!</v>
      </c>
      <c r="Z28" s="16" t="e">
        <f>#REF!</f>
        <v>#REF!</v>
      </c>
      <c r="AA28" s="11" t="e">
        <f>#REF!</f>
        <v>#REF!</v>
      </c>
      <c r="AB28" s="11" t="e">
        <f>#REF!</f>
        <v>#REF!</v>
      </c>
      <c r="AC28" s="11" t="e">
        <f>#REF!</f>
        <v>#REF!</v>
      </c>
      <c r="AD28" s="13"/>
      <c r="AE28" s="13"/>
      <c r="AF28" s="13"/>
      <c r="AG28" s="13"/>
      <c r="AH28" s="13"/>
    </row>
    <row r="29" spans="1:34" x14ac:dyDescent="0.2">
      <c r="A29" t="s">
        <v>1</v>
      </c>
      <c r="B29" s="6" t="e">
        <f>+#REF!</f>
        <v>#REF!</v>
      </c>
      <c r="C29" s="11" t="e">
        <f t="shared" ref="C29:C65" si="3">+F29+G29+H29+I29+P29+X29+Y29+AA29+AB29+AC29</f>
        <v>#REF!</v>
      </c>
      <c r="D29" s="16" t="e">
        <f t="shared" si="1"/>
        <v>#REF!</v>
      </c>
      <c r="E29" s="18" t="e">
        <f t="shared" ref="E29:E65" si="4">+N29+W29</f>
        <v>#REF!</v>
      </c>
      <c r="F29" s="11" t="e">
        <f>#REF!</f>
        <v>#REF!</v>
      </c>
      <c r="G29" s="11" t="e">
        <f>#REF!</f>
        <v>#REF!</v>
      </c>
      <c r="H29" s="11" t="e">
        <f>#REF!</f>
        <v>#REF!</v>
      </c>
      <c r="I29" s="11" t="e">
        <f>#REF!</f>
        <v>#REF!</v>
      </c>
      <c r="J29" s="16" t="e">
        <f>#REF!</f>
        <v>#REF!</v>
      </c>
      <c r="K29" s="16" t="e">
        <f>#REF!</f>
        <v>#REF!</v>
      </c>
      <c r="L29" s="16" t="e">
        <f>#REF!</f>
        <v>#REF!</v>
      </c>
      <c r="M29" s="16" t="e">
        <f>#REF!</f>
        <v>#REF!</v>
      </c>
      <c r="N29" s="18" t="e">
        <f>#REF!</f>
        <v>#REF!</v>
      </c>
      <c r="O29" s="16" t="e">
        <f>#REF!</f>
        <v>#REF!</v>
      </c>
      <c r="P29" s="11" t="e">
        <f>#REF!</f>
        <v>#REF!</v>
      </c>
      <c r="Q29" s="16" t="e">
        <f>#REF!</f>
        <v>#REF!</v>
      </c>
      <c r="R29" s="16" t="e">
        <f>#REF!</f>
        <v>#REF!</v>
      </c>
      <c r="S29" s="16" t="e">
        <f>#REF!</f>
        <v>#REF!</v>
      </c>
      <c r="T29" s="16" t="e">
        <f>#REF!</f>
        <v>#REF!</v>
      </c>
      <c r="U29" s="16" t="e">
        <f>#REF!</f>
        <v>#REF!</v>
      </c>
      <c r="V29" s="16" t="e">
        <f>#REF!</f>
        <v>#REF!</v>
      </c>
      <c r="W29" s="18" t="e">
        <f>#REF!</f>
        <v>#REF!</v>
      </c>
      <c r="X29" s="11" t="e">
        <f>#REF!</f>
        <v>#REF!</v>
      </c>
      <c r="Y29" s="11" t="e">
        <f>#REF!</f>
        <v>#REF!</v>
      </c>
      <c r="Z29" s="16" t="e">
        <f>#REF!</f>
        <v>#REF!</v>
      </c>
      <c r="AA29" s="11" t="e">
        <f>#REF!</f>
        <v>#REF!</v>
      </c>
      <c r="AB29" s="11" t="e">
        <f>#REF!</f>
        <v>#REF!</v>
      </c>
      <c r="AC29" s="11" t="e">
        <f>#REF!</f>
        <v>#REF!</v>
      </c>
      <c r="AD29" s="13"/>
      <c r="AE29" s="13"/>
      <c r="AF29" s="13"/>
      <c r="AG29" s="13"/>
      <c r="AH29" s="13"/>
    </row>
    <row r="30" spans="1:34" x14ac:dyDescent="0.2">
      <c r="A30" t="s">
        <v>2</v>
      </c>
      <c r="B30" s="6" t="e">
        <f>+#REF!</f>
        <v>#REF!</v>
      </c>
      <c r="C30" s="11" t="e">
        <f t="shared" si="3"/>
        <v>#REF!</v>
      </c>
      <c r="D30" s="16" t="e">
        <f t="shared" si="1"/>
        <v>#REF!</v>
      </c>
      <c r="E30" s="18" t="e">
        <f t="shared" si="4"/>
        <v>#REF!</v>
      </c>
      <c r="F30" s="11" t="e">
        <f>#REF!</f>
        <v>#REF!</v>
      </c>
      <c r="G30" s="11" t="e">
        <f>#REF!</f>
        <v>#REF!</v>
      </c>
      <c r="H30" s="11" t="e">
        <f>#REF!</f>
        <v>#REF!</v>
      </c>
      <c r="I30" s="11" t="e">
        <f>#REF!</f>
        <v>#REF!</v>
      </c>
      <c r="J30" s="16" t="e">
        <f>#REF!</f>
        <v>#REF!</v>
      </c>
      <c r="K30" s="16" t="e">
        <f>#REF!</f>
        <v>#REF!</v>
      </c>
      <c r="L30" s="16" t="e">
        <f>#REF!</f>
        <v>#REF!</v>
      </c>
      <c r="M30" s="16" t="e">
        <f>#REF!</f>
        <v>#REF!</v>
      </c>
      <c r="N30" s="18" t="e">
        <f>#REF!</f>
        <v>#REF!</v>
      </c>
      <c r="O30" s="16" t="e">
        <f>#REF!</f>
        <v>#REF!</v>
      </c>
      <c r="P30" s="11" t="e">
        <f>#REF!</f>
        <v>#REF!</v>
      </c>
      <c r="Q30" s="16" t="e">
        <f>#REF!</f>
        <v>#REF!</v>
      </c>
      <c r="R30" s="16" t="e">
        <f>#REF!</f>
        <v>#REF!</v>
      </c>
      <c r="S30" s="16" t="e">
        <f>#REF!</f>
        <v>#REF!</v>
      </c>
      <c r="T30" s="16" t="e">
        <f>#REF!</f>
        <v>#REF!</v>
      </c>
      <c r="U30" s="16" t="e">
        <f>#REF!</f>
        <v>#REF!</v>
      </c>
      <c r="V30" s="16" t="e">
        <f>#REF!</f>
        <v>#REF!</v>
      </c>
      <c r="W30" s="18" t="e">
        <f>#REF!</f>
        <v>#REF!</v>
      </c>
      <c r="X30" s="11" t="e">
        <f>#REF!</f>
        <v>#REF!</v>
      </c>
      <c r="Y30" s="11" t="e">
        <f>#REF!</f>
        <v>#REF!</v>
      </c>
      <c r="Z30" s="16" t="e">
        <f>#REF!</f>
        <v>#REF!</v>
      </c>
      <c r="AA30" s="11" t="e">
        <f>#REF!</f>
        <v>#REF!</v>
      </c>
      <c r="AB30" s="11" t="e">
        <f>#REF!</f>
        <v>#REF!</v>
      </c>
      <c r="AC30" s="11" t="e">
        <f>#REF!</f>
        <v>#REF!</v>
      </c>
      <c r="AD30" s="13"/>
      <c r="AE30" s="13"/>
      <c r="AF30" s="13"/>
      <c r="AG30" s="13"/>
      <c r="AH30" s="13"/>
    </row>
    <row r="31" spans="1:34" x14ac:dyDescent="0.2">
      <c r="A31" s="3" t="s">
        <v>3</v>
      </c>
      <c r="B31" s="6" t="e">
        <f>+#REF!</f>
        <v>#REF!</v>
      </c>
      <c r="C31" s="11" t="e">
        <f t="shared" si="3"/>
        <v>#REF!</v>
      </c>
      <c r="D31" s="16" t="e">
        <f t="shared" si="1"/>
        <v>#REF!</v>
      </c>
      <c r="E31" s="18" t="e">
        <f t="shared" si="4"/>
        <v>#REF!</v>
      </c>
      <c r="F31" s="11" t="e">
        <f>#REF!</f>
        <v>#REF!</v>
      </c>
      <c r="G31" s="11" t="e">
        <f>#REF!</f>
        <v>#REF!</v>
      </c>
      <c r="H31" s="11" t="e">
        <f>#REF!</f>
        <v>#REF!</v>
      </c>
      <c r="I31" s="11" t="e">
        <f>#REF!</f>
        <v>#REF!</v>
      </c>
      <c r="J31" s="16" t="e">
        <f>#REF!</f>
        <v>#REF!</v>
      </c>
      <c r="K31" s="16" t="e">
        <f>#REF!</f>
        <v>#REF!</v>
      </c>
      <c r="L31" s="16" t="e">
        <f>#REF!</f>
        <v>#REF!</v>
      </c>
      <c r="M31" s="16" t="e">
        <f>#REF!</f>
        <v>#REF!</v>
      </c>
      <c r="N31" s="18" t="e">
        <f>#REF!</f>
        <v>#REF!</v>
      </c>
      <c r="O31" s="16" t="e">
        <f>#REF!</f>
        <v>#REF!</v>
      </c>
      <c r="P31" s="11" t="e">
        <f>#REF!</f>
        <v>#REF!</v>
      </c>
      <c r="Q31" s="16" t="e">
        <f>#REF!</f>
        <v>#REF!</v>
      </c>
      <c r="R31" s="16" t="e">
        <f>#REF!</f>
        <v>#REF!</v>
      </c>
      <c r="S31" s="16" t="e">
        <f>#REF!</f>
        <v>#REF!</v>
      </c>
      <c r="T31" s="16" t="e">
        <f>#REF!</f>
        <v>#REF!</v>
      </c>
      <c r="U31" s="16" t="e">
        <f>#REF!</f>
        <v>#REF!</v>
      </c>
      <c r="V31" s="16" t="e">
        <f>#REF!</f>
        <v>#REF!</v>
      </c>
      <c r="W31" s="18" t="e">
        <f>#REF!</f>
        <v>#REF!</v>
      </c>
      <c r="X31" s="11" t="e">
        <f>#REF!</f>
        <v>#REF!</v>
      </c>
      <c r="Y31" s="11" t="e">
        <f>#REF!</f>
        <v>#REF!</v>
      </c>
      <c r="Z31" s="16" t="e">
        <f>#REF!</f>
        <v>#REF!</v>
      </c>
      <c r="AA31" s="11" t="e">
        <f>#REF!</f>
        <v>#REF!</v>
      </c>
      <c r="AB31" s="11" t="e">
        <f>#REF!</f>
        <v>#REF!</v>
      </c>
      <c r="AC31" s="11" t="e">
        <f>#REF!</f>
        <v>#REF!</v>
      </c>
      <c r="AD31" s="13"/>
      <c r="AE31" s="13"/>
      <c r="AF31" s="13"/>
      <c r="AG31" s="13"/>
      <c r="AH31" s="13"/>
    </row>
    <row r="32" spans="1:34" x14ac:dyDescent="0.2">
      <c r="A32" s="3" t="s">
        <v>4</v>
      </c>
      <c r="B32" s="6" t="e">
        <f>+#REF!</f>
        <v>#REF!</v>
      </c>
      <c r="C32" s="11" t="e">
        <f t="shared" si="3"/>
        <v>#REF!</v>
      </c>
      <c r="D32" s="16" t="e">
        <f t="shared" si="1"/>
        <v>#REF!</v>
      </c>
      <c r="E32" s="18" t="e">
        <f t="shared" si="4"/>
        <v>#REF!</v>
      </c>
      <c r="F32" s="11" t="e">
        <f>#REF!</f>
        <v>#REF!</v>
      </c>
      <c r="G32" s="11" t="e">
        <f>#REF!</f>
        <v>#REF!</v>
      </c>
      <c r="H32" s="11" t="e">
        <f>#REF!</f>
        <v>#REF!</v>
      </c>
      <c r="I32" s="11" t="e">
        <f>#REF!</f>
        <v>#REF!</v>
      </c>
      <c r="J32" s="16" t="e">
        <f>#REF!</f>
        <v>#REF!</v>
      </c>
      <c r="K32" s="16" t="e">
        <f>#REF!</f>
        <v>#REF!</v>
      </c>
      <c r="L32" s="16" t="e">
        <f>#REF!</f>
        <v>#REF!</v>
      </c>
      <c r="M32" s="16" t="e">
        <f>#REF!</f>
        <v>#REF!</v>
      </c>
      <c r="N32" s="18" t="e">
        <f>#REF!</f>
        <v>#REF!</v>
      </c>
      <c r="O32" s="16" t="e">
        <f>#REF!</f>
        <v>#REF!</v>
      </c>
      <c r="P32" s="11" t="e">
        <f>#REF!</f>
        <v>#REF!</v>
      </c>
      <c r="Q32" s="16" t="e">
        <f>#REF!</f>
        <v>#REF!</v>
      </c>
      <c r="R32" s="16" t="e">
        <f>#REF!</f>
        <v>#REF!</v>
      </c>
      <c r="S32" s="16" t="e">
        <f>#REF!</f>
        <v>#REF!</v>
      </c>
      <c r="T32" s="16" t="e">
        <f>#REF!</f>
        <v>#REF!</v>
      </c>
      <c r="U32" s="16" t="e">
        <f>#REF!</f>
        <v>#REF!</v>
      </c>
      <c r="V32" s="16" t="e">
        <f>#REF!</f>
        <v>#REF!</v>
      </c>
      <c r="W32" s="18" t="e">
        <f>#REF!</f>
        <v>#REF!</v>
      </c>
      <c r="X32" s="11" t="e">
        <f>#REF!</f>
        <v>#REF!</v>
      </c>
      <c r="Y32" s="11" t="e">
        <f>#REF!</f>
        <v>#REF!</v>
      </c>
      <c r="Z32" s="16" t="e">
        <f>#REF!</f>
        <v>#REF!</v>
      </c>
      <c r="AA32" s="11" t="e">
        <f>#REF!</f>
        <v>#REF!</v>
      </c>
      <c r="AB32" s="11" t="e">
        <f>#REF!</f>
        <v>#REF!</v>
      </c>
      <c r="AC32" s="11" t="e">
        <f>#REF!</f>
        <v>#REF!</v>
      </c>
      <c r="AD32" s="13"/>
      <c r="AE32" s="13"/>
      <c r="AF32" s="13"/>
      <c r="AG32" s="13"/>
      <c r="AH32" s="13"/>
    </row>
    <row r="33" spans="1:34" x14ac:dyDescent="0.2">
      <c r="A33" t="s">
        <v>5</v>
      </c>
      <c r="B33" s="6" t="e">
        <f>+#REF!</f>
        <v>#REF!</v>
      </c>
      <c r="C33" s="11" t="e">
        <f t="shared" si="3"/>
        <v>#REF!</v>
      </c>
      <c r="D33" s="16" t="e">
        <f t="shared" si="1"/>
        <v>#REF!</v>
      </c>
      <c r="E33" s="18" t="e">
        <f t="shared" si="4"/>
        <v>#REF!</v>
      </c>
      <c r="F33" s="11" t="e">
        <f>#REF!</f>
        <v>#REF!</v>
      </c>
      <c r="G33" s="11" t="e">
        <f>#REF!</f>
        <v>#REF!</v>
      </c>
      <c r="H33" s="11" t="e">
        <f>#REF!</f>
        <v>#REF!</v>
      </c>
      <c r="I33" s="11" t="e">
        <f>#REF!</f>
        <v>#REF!</v>
      </c>
      <c r="J33" s="16" t="e">
        <f>#REF!</f>
        <v>#REF!</v>
      </c>
      <c r="K33" s="16" t="e">
        <f>#REF!</f>
        <v>#REF!</v>
      </c>
      <c r="L33" s="16" t="e">
        <f>#REF!</f>
        <v>#REF!</v>
      </c>
      <c r="M33" s="16" t="e">
        <f>#REF!</f>
        <v>#REF!</v>
      </c>
      <c r="N33" s="18" t="e">
        <f>#REF!</f>
        <v>#REF!</v>
      </c>
      <c r="O33" s="16" t="e">
        <f>#REF!</f>
        <v>#REF!</v>
      </c>
      <c r="P33" s="11" t="e">
        <f>#REF!</f>
        <v>#REF!</v>
      </c>
      <c r="Q33" s="16" t="e">
        <f>#REF!</f>
        <v>#REF!</v>
      </c>
      <c r="R33" s="16" t="e">
        <f>#REF!</f>
        <v>#REF!</v>
      </c>
      <c r="S33" s="16" t="e">
        <f>#REF!</f>
        <v>#REF!</v>
      </c>
      <c r="T33" s="16" t="e">
        <f>#REF!</f>
        <v>#REF!</v>
      </c>
      <c r="U33" s="16" t="e">
        <f>#REF!</f>
        <v>#REF!</v>
      </c>
      <c r="V33" s="16" t="e">
        <f>#REF!</f>
        <v>#REF!</v>
      </c>
      <c r="W33" s="18" t="e">
        <f>#REF!</f>
        <v>#REF!</v>
      </c>
      <c r="X33" s="11" t="e">
        <f>#REF!</f>
        <v>#REF!</v>
      </c>
      <c r="Y33" s="11" t="e">
        <f>#REF!</f>
        <v>#REF!</v>
      </c>
      <c r="Z33" s="16" t="e">
        <f>#REF!</f>
        <v>#REF!</v>
      </c>
      <c r="AA33" s="11" t="e">
        <f>#REF!</f>
        <v>#REF!</v>
      </c>
      <c r="AB33" s="11" t="e">
        <f>#REF!</f>
        <v>#REF!</v>
      </c>
      <c r="AC33" s="11" t="e">
        <f>#REF!</f>
        <v>#REF!</v>
      </c>
      <c r="AD33" s="13"/>
      <c r="AE33" s="13"/>
      <c r="AF33" s="13"/>
      <c r="AG33" s="13"/>
      <c r="AH33" s="13"/>
    </row>
    <row r="34" spans="1:34" x14ac:dyDescent="0.2">
      <c r="A34" t="s">
        <v>6</v>
      </c>
      <c r="B34" s="6" t="e">
        <f>+#REF!</f>
        <v>#REF!</v>
      </c>
      <c r="C34" s="11" t="e">
        <f t="shared" si="3"/>
        <v>#REF!</v>
      </c>
      <c r="D34" s="16" t="e">
        <f t="shared" si="1"/>
        <v>#REF!</v>
      </c>
      <c r="E34" s="18" t="e">
        <f t="shared" si="4"/>
        <v>#REF!</v>
      </c>
      <c r="F34" s="11" t="e">
        <f>#REF!</f>
        <v>#REF!</v>
      </c>
      <c r="G34" s="11" t="e">
        <f>#REF!</f>
        <v>#REF!</v>
      </c>
      <c r="H34" s="11" t="e">
        <f>#REF!</f>
        <v>#REF!</v>
      </c>
      <c r="I34" s="11" t="e">
        <f>#REF!</f>
        <v>#REF!</v>
      </c>
      <c r="J34" s="16" t="e">
        <f>#REF!</f>
        <v>#REF!</v>
      </c>
      <c r="K34" s="16" t="e">
        <f>#REF!</f>
        <v>#REF!</v>
      </c>
      <c r="L34" s="16" t="e">
        <f>#REF!</f>
        <v>#REF!</v>
      </c>
      <c r="M34" s="16" t="e">
        <f>#REF!</f>
        <v>#REF!</v>
      </c>
      <c r="N34" s="18" t="e">
        <f>#REF!</f>
        <v>#REF!</v>
      </c>
      <c r="O34" s="16" t="e">
        <f>#REF!</f>
        <v>#REF!</v>
      </c>
      <c r="P34" s="11" t="e">
        <f>#REF!</f>
        <v>#REF!</v>
      </c>
      <c r="Q34" s="16" t="e">
        <f>#REF!</f>
        <v>#REF!</v>
      </c>
      <c r="R34" s="16" t="e">
        <f>#REF!</f>
        <v>#REF!</v>
      </c>
      <c r="S34" s="16" t="e">
        <f>#REF!</f>
        <v>#REF!</v>
      </c>
      <c r="T34" s="16" t="e">
        <f>#REF!</f>
        <v>#REF!</v>
      </c>
      <c r="U34" s="16" t="e">
        <f>#REF!</f>
        <v>#REF!</v>
      </c>
      <c r="V34" s="16" t="e">
        <f>#REF!</f>
        <v>#REF!</v>
      </c>
      <c r="W34" s="18" t="e">
        <f>#REF!</f>
        <v>#REF!</v>
      </c>
      <c r="X34" s="11" t="e">
        <f>#REF!</f>
        <v>#REF!</v>
      </c>
      <c r="Y34" s="11" t="e">
        <f>#REF!</f>
        <v>#REF!</v>
      </c>
      <c r="Z34" s="16" t="e">
        <f>#REF!</f>
        <v>#REF!</v>
      </c>
      <c r="AA34" s="11" t="e">
        <f>#REF!</f>
        <v>#REF!</v>
      </c>
      <c r="AB34" s="11" t="e">
        <f>#REF!</f>
        <v>#REF!</v>
      </c>
      <c r="AC34" s="11" t="e">
        <f>#REF!</f>
        <v>#REF!</v>
      </c>
      <c r="AD34" s="13"/>
      <c r="AE34" s="13"/>
      <c r="AF34" s="13"/>
      <c r="AG34" s="13"/>
      <c r="AH34" s="13"/>
    </row>
    <row r="35" spans="1:34" x14ac:dyDescent="0.2">
      <c r="A35" t="s">
        <v>7</v>
      </c>
      <c r="B35" s="6" t="e">
        <f>+#REF!</f>
        <v>#REF!</v>
      </c>
      <c r="C35" s="11" t="e">
        <f t="shared" si="3"/>
        <v>#REF!</v>
      </c>
      <c r="D35" s="16" t="e">
        <f t="shared" si="1"/>
        <v>#REF!</v>
      </c>
      <c r="E35" s="18" t="e">
        <f t="shared" si="4"/>
        <v>#REF!</v>
      </c>
      <c r="F35" s="11" t="e">
        <f>#REF!</f>
        <v>#REF!</v>
      </c>
      <c r="G35" s="11" t="e">
        <f>#REF!</f>
        <v>#REF!</v>
      </c>
      <c r="H35" s="11" t="e">
        <f>#REF!</f>
        <v>#REF!</v>
      </c>
      <c r="I35" s="11" t="e">
        <f>#REF!</f>
        <v>#REF!</v>
      </c>
      <c r="J35" s="16" t="e">
        <f>#REF!</f>
        <v>#REF!</v>
      </c>
      <c r="K35" s="16" t="e">
        <f>#REF!</f>
        <v>#REF!</v>
      </c>
      <c r="L35" s="16" t="e">
        <f>#REF!</f>
        <v>#REF!</v>
      </c>
      <c r="M35" s="16" t="e">
        <f>#REF!</f>
        <v>#REF!</v>
      </c>
      <c r="N35" s="18" t="e">
        <f>#REF!</f>
        <v>#REF!</v>
      </c>
      <c r="O35" s="16" t="e">
        <f>#REF!</f>
        <v>#REF!</v>
      </c>
      <c r="P35" s="11" t="e">
        <f>#REF!</f>
        <v>#REF!</v>
      </c>
      <c r="Q35" s="16" t="e">
        <f>#REF!</f>
        <v>#REF!</v>
      </c>
      <c r="R35" s="16" t="e">
        <f>#REF!</f>
        <v>#REF!</v>
      </c>
      <c r="S35" s="16" t="e">
        <f>#REF!</f>
        <v>#REF!</v>
      </c>
      <c r="T35" s="16" t="e">
        <f>#REF!</f>
        <v>#REF!</v>
      </c>
      <c r="U35" s="16" t="e">
        <f>#REF!</f>
        <v>#REF!</v>
      </c>
      <c r="V35" s="16" t="e">
        <f>#REF!</f>
        <v>#REF!</v>
      </c>
      <c r="W35" s="18" t="e">
        <f>#REF!</f>
        <v>#REF!</v>
      </c>
      <c r="X35" s="11" t="e">
        <f>#REF!</f>
        <v>#REF!</v>
      </c>
      <c r="Y35" s="11" t="e">
        <f>#REF!</f>
        <v>#REF!</v>
      </c>
      <c r="Z35" s="16" t="e">
        <f>#REF!</f>
        <v>#REF!</v>
      </c>
      <c r="AA35" s="11" t="e">
        <f>#REF!</f>
        <v>#REF!</v>
      </c>
      <c r="AB35" s="11" t="e">
        <f>#REF!</f>
        <v>#REF!</v>
      </c>
      <c r="AC35" s="11" t="e">
        <f>#REF!</f>
        <v>#REF!</v>
      </c>
      <c r="AD35" s="13"/>
      <c r="AE35" s="13"/>
      <c r="AF35" s="13"/>
      <c r="AG35" s="13"/>
      <c r="AH35" s="13"/>
    </row>
    <row r="36" spans="1:34" x14ac:dyDescent="0.2">
      <c r="A36" t="s">
        <v>8</v>
      </c>
      <c r="B36" s="6" t="e">
        <f>+#REF!</f>
        <v>#REF!</v>
      </c>
      <c r="C36" s="11" t="e">
        <f t="shared" si="3"/>
        <v>#REF!</v>
      </c>
      <c r="D36" s="16" t="e">
        <f t="shared" si="1"/>
        <v>#REF!</v>
      </c>
      <c r="E36" s="18" t="e">
        <f t="shared" si="4"/>
        <v>#REF!</v>
      </c>
      <c r="F36" s="11" t="e">
        <f>#REF!</f>
        <v>#REF!</v>
      </c>
      <c r="G36" s="11" t="e">
        <f>#REF!</f>
        <v>#REF!</v>
      </c>
      <c r="H36" s="11" t="e">
        <f>#REF!</f>
        <v>#REF!</v>
      </c>
      <c r="I36" s="11" t="e">
        <f>#REF!</f>
        <v>#REF!</v>
      </c>
      <c r="J36" s="16" t="e">
        <f>#REF!</f>
        <v>#REF!</v>
      </c>
      <c r="K36" s="16" t="e">
        <f>#REF!</f>
        <v>#REF!</v>
      </c>
      <c r="L36" s="16" t="e">
        <f>#REF!</f>
        <v>#REF!</v>
      </c>
      <c r="M36" s="16" t="e">
        <f>#REF!</f>
        <v>#REF!</v>
      </c>
      <c r="N36" s="18" t="e">
        <f>#REF!</f>
        <v>#REF!</v>
      </c>
      <c r="O36" s="16" t="e">
        <f>#REF!</f>
        <v>#REF!</v>
      </c>
      <c r="P36" s="11" t="e">
        <f>#REF!</f>
        <v>#REF!</v>
      </c>
      <c r="Q36" s="16" t="e">
        <f>#REF!</f>
        <v>#REF!</v>
      </c>
      <c r="R36" s="16" t="e">
        <f>#REF!</f>
        <v>#REF!</v>
      </c>
      <c r="S36" s="16" t="e">
        <f>#REF!</f>
        <v>#REF!</v>
      </c>
      <c r="T36" s="16" t="e">
        <f>#REF!</f>
        <v>#REF!</v>
      </c>
      <c r="U36" s="16" t="e">
        <f>#REF!</f>
        <v>#REF!</v>
      </c>
      <c r="V36" s="16" t="e">
        <f>#REF!</f>
        <v>#REF!</v>
      </c>
      <c r="W36" s="18" t="e">
        <f>#REF!</f>
        <v>#REF!</v>
      </c>
      <c r="X36" s="11" t="e">
        <f>#REF!</f>
        <v>#REF!</v>
      </c>
      <c r="Y36" s="11" t="e">
        <f>#REF!</f>
        <v>#REF!</v>
      </c>
      <c r="Z36" s="16" t="e">
        <f>#REF!</f>
        <v>#REF!</v>
      </c>
      <c r="AA36" s="11" t="e">
        <f>#REF!</f>
        <v>#REF!</v>
      </c>
      <c r="AB36" s="11" t="e">
        <f>#REF!</f>
        <v>#REF!</v>
      </c>
      <c r="AC36" s="11" t="e">
        <f>#REF!</f>
        <v>#REF!</v>
      </c>
      <c r="AD36" s="13"/>
      <c r="AE36" s="13"/>
      <c r="AF36" s="13"/>
      <c r="AG36" s="13"/>
      <c r="AH36" s="13"/>
    </row>
    <row r="37" spans="1:34" x14ac:dyDescent="0.2">
      <c r="A37" t="s">
        <v>9</v>
      </c>
      <c r="B37" s="6" t="e">
        <f>+#REF!</f>
        <v>#REF!</v>
      </c>
      <c r="C37" s="11" t="e">
        <f t="shared" si="3"/>
        <v>#REF!</v>
      </c>
      <c r="D37" s="16" t="e">
        <f t="shared" si="1"/>
        <v>#REF!</v>
      </c>
      <c r="E37" s="18" t="e">
        <f t="shared" si="4"/>
        <v>#REF!</v>
      </c>
      <c r="F37" s="11" t="e">
        <f>#REF!</f>
        <v>#REF!</v>
      </c>
      <c r="G37" s="11" t="e">
        <f>#REF!</f>
        <v>#REF!</v>
      </c>
      <c r="H37" s="11" t="e">
        <f>#REF!</f>
        <v>#REF!</v>
      </c>
      <c r="I37" s="11" t="e">
        <f>#REF!</f>
        <v>#REF!</v>
      </c>
      <c r="J37" s="16" t="e">
        <f>#REF!</f>
        <v>#REF!</v>
      </c>
      <c r="K37" s="16" t="e">
        <f>#REF!</f>
        <v>#REF!</v>
      </c>
      <c r="L37" s="16" t="e">
        <f>#REF!</f>
        <v>#REF!</v>
      </c>
      <c r="M37" s="16" t="e">
        <f>#REF!</f>
        <v>#REF!</v>
      </c>
      <c r="N37" s="18" t="e">
        <f>#REF!</f>
        <v>#REF!</v>
      </c>
      <c r="O37" s="16" t="e">
        <f>#REF!</f>
        <v>#REF!</v>
      </c>
      <c r="P37" s="11" t="e">
        <f>#REF!</f>
        <v>#REF!</v>
      </c>
      <c r="Q37" s="16" t="e">
        <f>#REF!</f>
        <v>#REF!</v>
      </c>
      <c r="R37" s="16" t="e">
        <f>#REF!</f>
        <v>#REF!</v>
      </c>
      <c r="S37" s="16" t="e">
        <f>#REF!</f>
        <v>#REF!</v>
      </c>
      <c r="T37" s="16" t="e">
        <f>#REF!</f>
        <v>#REF!</v>
      </c>
      <c r="U37" s="16" t="e">
        <f>#REF!</f>
        <v>#REF!</v>
      </c>
      <c r="V37" s="16" t="e">
        <f>#REF!</f>
        <v>#REF!</v>
      </c>
      <c r="W37" s="18" t="e">
        <f>#REF!</f>
        <v>#REF!</v>
      </c>
      <c r="X37" s="11" t="e">
        <f>#REF!</f>
        <v>#REF!</v>
      </c>
      <c r="Y37" s="11" t="e">
        <f>#REF!</f>
        <v>#REF!</v>
      </c>
      <c r="Z37" s="16" t="e">
        <f>#REF!</f>
        <v>#REF!</v>
      </c>
      <c r="AA37" s="11" t="e">
        <f>#REF!</f>
        <v>#REF!</v>
      </c>
      <c r="AB37" s="11" t="e">
        <f>#REF!</f>
        <v>#REF!</v>
      </c>
      <c r="AC37" s="11" t="e">
        <f>#REF!</f>
        <v>#REF!</v>
      </c>
      <c r="AD37" s="13"/>
      <c r="AE37" s="13"/>
      <c r="AF37" s="13"/>
      <c r="AG37" s="13"/>
      <c r="AH37" s="13"/>
    </row>
    <row r="38" spans="1:34" x14ac:dyDescent="0.2">
      <c r="A38" t="s">
        <v>10</v>
      </c>
      <c r="B38" s="6" t="e">
        <f>+#REF!</f>
        <v>#REF!</v>
      </c>
      <c r="C38" s="11" t="e">
        <f t="shared" si="3"/>
        <v>#REF!</v>
      </c>
      <c r="D38" s="16" t="e">
        <f t="shared" si="1"/>
        <v>#REF!</v>
      </c>
      <c r="E38" s="18" t="e">
        <f t="shared" si="4"/>
        <v>#REF!</v>
      </c>
      <c r="F38" s="11" t="e">
        <f>#REF!</f>
        <v>#REF!</v>
      </c>
      <c r="G38" s="11" t="e">
        <f>#REF!</f>
        <v>#REF!</v>
      </c>
      <c r="H38" s="11" t="e">
        <f>#REF!</f>
        <v>#REF!</v>
      </c>
      <c r="I38" s="11" t="e">
        <f>#REF!</f>
        <v>#REF!</v>
      </c>
      <c r="J38" s="16" t="e">
        <f>#REF!</f>
        <v>#REF!</v>
      </c>
      <c r="K38" s="16" t="e">
        <f>#REF!</f>
        <v>#REF!</v>
      </c>
      <c r="L38" s="16" t="e">
        <f>#REF!</f>
        <v>#REF!</v>
      </c>
      <c r="M38" s="16" t="e">
        <f>#REF!</f>
        <v>#REF!</v>
      </c>
      <c r="N38" s="18" t="e">
        <f>#REF!</f>
        <v>#REF!</v>
      </c>
      <c r="O38" s="16" t="e">
        <f>#REF!</f>
        <v>#REF!</v>
      </c>
      <c r="P38" s="11" t="e">
        <f>#REF!</f>
        <v>#REF!</v>
      </c>
      <c r="Q38" s="16" t="e">
        <f>#REF!</f>
        <v>#REF!</v>
      </c>
      <c r="R38" s="16" t="e">
        <f>#REF!</f>
        <v>#REF!</v>
      </c>
      <c r="S38" s="16" t="e">
        <f>#REF!</f>
        <v>#REF!</v>
      </c>
      <c r="T38" s="16" t="e">
        <f>#REF!</f>
        <v>#REF!</v>
      </c>
      <c r="U38" s="16" t="e">
        <f>#REF!</f>
        <v>#REF!</v>
      </c>
      <c r="V38" s="16" t="e">
        <f>#REF!</f>
        <v>#REF!</v>
      </c>
      <c r="W38" s="18" t="e">
        <f>#REF!</f>
        <v>#REF!</v>
      </c>
      <c r="X38" s="11" t="e">
        <f>#REF!</f>
        <v>#REF!</v>
      </c>
      <c r="Y38" s="11" t="e">
        <f>#REF!</f>
        <v>#REF!</v>
      </c>
      <c r="Z38" s="16" t="e">
        <f>#REF!</f>
        <v>#REF!</v>
      </c>
      <c r="AA38" s="11" t="e">
        <f>#REF!</f>
        <v>#REF!</v>
      </c>
      <c r="AB38" s="11" t="e">
        <f>#REF!</f>
        <v>#REF!</v>
      </c>
      <c r="AC38" s="11" t="e">
        <f>#REF!</f>
        <v>#REF!</v>
      </c>
      <c r="AD38" s="13"/>
      <c r="AE38" s="13"/>
      <c r="AF38" s="13"/>
      <c r="AG38" s="13"/>
      <c r="AH38" s="13"/>
    </row>
    <row r="39" spans="1:34" x14ac:dyDescent="0.2">
      <c r="A39" t="s">
        <v>11</v>
      </c>
      <c r="B39" s="6" t="e">
        <f>+#REF!</f>
        <v>#REF!</v>
      </c>
      <c r="C39" s="11" t="e">
        <f t="shared" si="3"/>
        <v>#REF!</v>
      </c>
      <c r="D39" s="16" t="e">
        <f t="shared" si="1"/>
        <v>#REF!</v>
      </c>
      <c r="E39" s="18" t="e">
        <f t="shared" si="4"/>
        <v>#REF!</v>
      </c>
      <c r="F39" s="11" t="e">
        <f>#REF!</f>
        <v>#REF!</v>
      </c>
      <c r="G39" s="11" t="e">
        <f>#REF!</f>
        <v>#REF!</v>
      </c>
      <c r="H39" s="11" t="e">
        <f>#REF!</f>
        <v>#REF!</v>
      </c>
      <c r="I39" s="11" t="e">
        <f>#REF!</f>
        <v>#REF!</v>
      </c>
      <c r="J39" s="16" t="e">
        <f>#REF!</f>
        <v>#REF!</v>
      </c>
      <c r="K39" s="16" t="e">
        <f>#REF!</f>
        <v>#REF!</v>
      </c>
      <c r="L39" s="16" t="e">
        <f>#REF!</f>
        <v>#REF!</v>
      </c>
      <c r="M39" s="16" t="e">
        <f>#REF!</f>
        <v>#REF!</v>
      </c>
      <c r="N39" s="18" t="e">
        <f>#REF!</f>
        <v>#REF!</v>
      </c>
      <c r="O39" s="16" t="e">
        <f>#REF!</f>
        <v>#REF!</v>
      </c>
      <c r="P39" s="11" t="e">
        <f>#REF!</f>
        <v>#REF!</v>
      </c>
      <c r="Q39" s="16" t="e">
        <f>#REF!</f>
        <v>#REF!</v>
      </c>
      <c r="R39" s="16" t="e">
        <f>#REF!</f>
        <v>#REF!</v>
      </c>
      <c r="S39" s="16" t="e">
        <f>#REF!</f>
        <v>#REF!</v>
      </c>
      <c r="T39" s="16" t="e">
        <f>#REF!</f>
        <v>#REF!</v>
      </c>
      <c r="U39" s="16" t="e">
        <f>#REF!</f>
        <v>#REF!</v>
      </c>
      <c r="V39" s="16" t="e">
        <f>#REF!</f>
        <v>#REF!</v>
      </c>
      <c r="W39" s="18" t="e">
        <f>#REF!</f>
        <v>#REF!</v>
      </c>
      <c r="X39" s="11" t="e">
        <f>#REF!</f>
        <v>#REF!</v>
      </c>
      <c r="Y39" s="11" t="e">
        <f>#REF!</f>
        <v>#REF!</v>
      </c>
      <c r="Z39" s="16" t="e">
        <f>#REF!</f>
        <v>#REF!</v>
      </c>
      <c r="AA39" s="11" t="e">
        <f>#REF!</f>
        <v>#REF!</v>
      </c>
      <c r="AB39" s="11" t="e">
        <f>#REF!</f>
        <v>#REF!</v>
      </c>
      <c r="AC39" s="11" t="e">
        <f>#REF!</f>
        <v>#REF!</v>
      </c>
      <c r="AD39" s="13"/>
      <c r="AE39" s="13"/>
      <c r="AF39" s="13"/>
      <c r="AG39" s="13"/>
      <c r="AH39" s="13"/>
    </row>
    <row r="40" spans="1:34" x14ac:dyDescent="0.2">
      <c r="A40" t="s">
        <v>12</v>
      </c>
      <c r="B40" s="6" t="e">
        <f>+#REF!</f>
        <v>#REF!</v>
      </c>
      <c r="C40" s="11" t="e">
        <f t="shared" si="3"/>
        <v>#REF!</v>
      </c>
      <c r="D40" s="16" t="e">
        <f t="shared" si="1"/>
        <v>#REF!</v>
      </c>
      <c r="E40" s="18" t="e">
        <f t="shared" si="4"/>
        <v>#REF!</v>
      </c>
      <c r="F40" s="11" t="e">
        <f>#REF!</f>
        <v>#REF!</v>
      </c>
      <c r="G40" s="11" t="e">
        <f>#REF!</f>
        <v>#REF!</v>
      </c>
      <c r="H40" s="11" t="e">
        <f>#REF!</f>
        <v>#REF!</v>
      </c>
      <c r="I40" s="11" t="e">
        <f>#REF!</f>
        <v>#REF!</v>
      </c>
      <c r="J40" s="16" t="e">
        <f>#REF!</f>
        <v>#REF!</v>
      </c>
      <c r="K40" s="16" t="e">
        <f>#REF!</f>
        <v>#REF!</v>
      </c>
      <c r="L40" s="16" t="e">
        <f>#REF!</f>
        <v>#REF!</v>
      </c>
      <c r="M40" s="16" t="e">
        <f>#REF!</f>
        <v>#REF!</v>
      </c>
      <c r="N40" s="18" t="e">
        <f>#REF!</f>
        <v>#REF!</v>
      </c>
      <c r="O40" s="16" t="e">
        <f>#REF!</f>
        <v>#REF!</v>
      </c>
      <c r="P40" s="11" t="e">
        <f>#REF!</f>
        <v>#REF!</v>
      </c>
      <c r="Q40" s="16" t="e">
        <f>#REF!</f>
        <v>#REF!</v>
      </c>
      <c r="R40" s="16" t="e">
        <f>#REF!</f>
        <v>#REF!</v>
      </c>
      <c r="S40" s="16" t="e">
        <f>#REF!</f>
        <v>#REF!</v>
      </c>
      <c r="T40" s="16" t="e">
        <f>#REF!</f>
        <v>#REF!</v>
      </c>
      <c r="U40" s="16" t="e">
        <f>#REF!</f>
        <v>#REF!</v>
      </c>
      <c r="V40" s="16" t="e">
        <f>#REF!</f>
        <v>#REF!</v>
      </c>
      <c r="W40" s="18" t="e">
        <f>#REF!</f>
        <v>#REF!</v>
      </c>
      <c r="X40" s="11" t="e">
        <f>#REF!</f>
        <v>#REF!</v>
      </c>
      <c r="Y40" s="11" t="e">
        <f>#REF!</f>
        <v>#REF!</v>
      </c>
      <c r="Z40" s="16" t="e">
        <f>#REF!</f>
        <v>#REF!</v>
      </c>
      <c r="AA40" s="11" t="e">
        <f>#REF!</f>
        <v>#REF!</v>
      </c>
      <c r="AB40" s="11" t="e">
        <f>#REF!</f>
        <v>#REF!</v>
      </c>
      <c r="AC40" s="11" t="e">
        <f>#REF!</f>
        <v>#REF!</v>
      </c>
      <c r="AD40" s="13"/>
      <c r="AE40" s="13"/>
      <c r="AF40" s="13"/>
      <c r="AG40" s="13"/>
      <c r="AH40" s="13"/>
    </row>
    <row r="41" spans="1:34" x14ac:dyDescent="0.2">
      <c r="A41" t="s">
        <v>13</v>
      </c>
      <c r="B41" s="6" t="e">
        <f>+#REF!</f>
        <v>#REF!</v>
      </c>
      <c r="C41" s="11" t="e">
        <f t="shared" si="3"/>
        <v>#REF!</v>
      </c>
      <c r="D41" s="16" t="e">
        <f t="shared" si="1"/>
        <v>#REF!</v>
      </c>
      <c r="E41" s="18" t="e">
        <f t="shared" si="4"/>
        <v>#REF!</v>
      </c>
      <c r="F41" s="11" t="e">
        <f>#REF!</f>
        <v>#REF!</v>
      </c>
      <c r="G41" s="11" t="e">
        <f>#REF!</f>
        <v>#REF!</v>
      </c>
      <c r="H41" s="11" t="e">
        <f>#REF!</f>
        <v>#REF!</v>
      </c>
      <c r="I41" s="11" t="e">
        <f>#REF!</f>
        <v>#REF!</v>
      </c>
      <c r="J41" s="16" t="e">
        <f>#REF!</f>
        <v>#REF!</v>
      </c>
      <c r="K41" s="16" t="e">
        <f>#REF!</f>
        <v>#REF!</v>
      </c>
      <c r="L41" s="16" t="e">
        <f>#REF!</f>
        <v>#REF!</v>
      </c>
      <c r="M41" s="16" t="e">
        <f>#REF!</f>
        <v>#REF!</v>
      </c>
      <c r="N41" s="18" t="e">
        <f>#REF!</f>
        <v>#REF!</v>
      </c>
      <c r="O41" s="16" t="e">
        <f>#REF!</f>
        <v>#REF!</v>
      </c>
      <c r="P41" s="11" t="e">
        <f>#REF!</f>
        <v>#REF!</v>
      </c>
      <c r="Q41" s="16" t="e">
        <f>#REF!</f>
        <v>#REF!</v>
      </c>
      <c r="R41" s="16" t="e">
        <f>#REF!</f>
        <v>#REF!</v>
      </c>
      <c r="S41" s="16" t="e">
        <f>#REF!</f>
        <v>#REF!</v>
      </c>
      <c r="T41" s="16" t="e">
        <f>#REF!</f>
        <v>#REF!</v>
      </c>
      <c r="U41" s="16" t="e">
        <f>#REF!</f>
        <v>#REF!</v>
      </c>
      <c r="V41" s="16" t="e">
        <f>#REF!</f>
        <v>#REF!</v>
      </c>
      <c r="W41" s="18" t="e">
        <f>#REF!</f>
        <v>#REF!</v>
      </c>
      <c r="X41" s="11" t="e">
        <f>#REF!</f>
        <v>#REF!</v>
      </c>
      <c r="Y41" s="11" t="e">
        <f>#REF!</f>
        <v>#REF!</v>
      </c>
      <c r="Z41" s="16" t="e">
        <f>#REF!</f>
        <v>#REF!</v>
      </c>
      <c r="AA41" s="11" t="e">
        <f>#REF!</f>
        <v>#REF!</v>
      </c>
      <c r="AB41" s="11" t="e">
        <f>#REF!</f>
        <v>#REF!</v>
      </c>
      <c r="AC41" s="11" t="e">
        <f>#REF!</f>
        <v>#REF!</v>
      </c>
      <c r="AD41" s="13"/>
      <c r="AE41" s="13"/>
      <c r="AF41" s="13"/>
      <c r="AG41" s="13"/>
      <c r="AH41" s="13"/>
    </row>
    <row r="42" spans="1:34" x14ac:dyDescent="0.2">
      <c r="A42" t="s">
        <v>14</v>
      </c>
      <c r="B42" s="6" t="e">
        <f>+#REF!</f>
        <v>#REF!</v>
      </c>
      <c r="C42" s="11" t="e">
        <f t="shared" si="3"/>
        <v>#REF!</v>
      </c>
      <c r="D42" s="16" t="e">
        <f t="shared" si="1"/>
        <v>#REF!</v>
      </c>
      <c r="E42" s="18" t="e">
        <f t="shared" si="4"/>
        <v>#REF!</v>
      </c>
      <c r="F42" s="11" t="e">
        <f>#REF!</f>
        <v>#REF!</v>
      </c>
      <c r="G42" s="11" t="e">
        <f>#REF!</f>
        <v>#REF!</v>
      </c>
      <c r="H42" s="11" t="e">
        <f>#REF!</f>
        <v>#REF!</v>
      </c>
      <c r="I42" s="11" t="e">
        <f>#REF!</f>
        <v>#REF!</v>
      </c>
      <c r="J42" s="16" t="e">
        <f>#REF!</f>
        <v>#REF!</v>
      </c>
      <c r="K42" s="16" t="e">
        <f>#REF!</f>
        <v>#REF!</v>
      </c>
      <c r="L42" s="16" t="e">
        <f>#REF!</f>
        <v>#REF!</v>
      </c>
      <c r="M42" s="16" t="e">
        <f>#REF!</f>
        <v>#REF!</v>
      </c>
      <c r="N42" s="18" t="e">
        <f>#REF!</f>
        <v>#REF!</v>
      </c>
      <c r="O42" s="16" t="e">
        <f>#REF!</f>
        <v>#REF!</v>
      </c>
      <c r="P42" s="11" t="e">
        <f>#REF!</f>
        <v>#REF!</v>
      </c>
      <c r="Q42" s="16" t="e">
        <f>#REF!</f>
        <v>#REF!</v>
      </c>
      <c r="R42" s="16" t="e">
        <f>#REF!</f>
        <v>#REF!</v>
      </c>
      <c r="S42" s="16" t="e">
        <f>#REF!</f>
        <v>#REF!</v>
      </c>
      <c r="T42" s="16" t="e">
        <f>#REF!</f>
        <v>#REF!</v>
      </c>
      <c r="U42" s="16" t="e">
        <f>#REF!</f>
        <v>#REF!</v>
      </c>
      <c r="V42" s="16" t="e">
        <f>#REF!</f>
        <v>#REF!</v>
      </c>
      <c r="W42" s="18" t="e">
        <f>#REF!</f>
        <v>#REF!</v>
      </c>
      <c r="X42" s="11" t="e">
        <f>#REF!</f>
        <v>#REF!</v>
      </c>
      <c r="Y42" s="11" t="e">
        <f>#REF!</f>
        <v>#REF!</v>
      </c>
      <c r="Z42" s="16" t="e">
        <f>#REF!</f>
        <v>#REF!</v>
      </c>
      <c r="AA42" s="11" t="e">
        <f>#REF!</f>
        <v>#REF!</v>
      </c>
      <c r="AB42" s="11" t="e">
        <f>#REF!</f>
        <v>#REF!</v>
      </c>
      <c r="AC42" s="11" t="e">
        <f>#REF!</f>
        <v>#REF!</v>
      </c>
      <c r="AD42" s="13"/>
      <c r="AE42" s="13"/>
      <c r="AF42" s="13"/>
      <c r="AG42" s="13"/>
      <c r="AH42" s="13"/>
    </row>
    <row r="43" spans="1:34" x14ac:dyDescent="0.2">
      <c r="A43" t="s">
        <v>15</v>
      </c>
      <c r="B43" s="6" t="e">
        <f>+#REF!</f>
        <v>#REF!</v>
      </c>
      <c r="C43" s="11" t="e">
        <f t="shared" si="3"/>
        <v>#REF!</v>
      </c>
      <c r="D43" s="16" t="e">
        <f t="shared" si="1"/>
        <v>#REF!</v>
      </c>
      <c r="E43" s="18" t="e">
        <f t="shared" si="4"/>
        <v>#REF!</v>
      </c>
      <c r="F43" s="11" t="e">
        <f>#REF!</f>
        <v>#REF!</v>
      </c>
      <c r="G43" s="11" t="e">
        <f>#REF!</f>
        <v>#REF!</v>
      </c>
      <c r="H43" s="11" t="e">
        <f>#REF!</f>
        <v>#REF!</v>
      </c>
      <c r="I43" s="11" t="e">
        <f>#REF!</f>
        <v>#REF!</v>
      </c>
      <c r="J43" s="16" t="e">
        <f>#REF!</f>
        <v>#REF!</v>
      </c>
      <c r="K43" s="16" t="e">
        <f>#REF!</f>
        <v>#REF!</v>
      </c>
      <c r="L43" s="16" t="e">
        <f>#REF!</f>
        <v>#REF!</v>
      </c>
      <c r="M43" s="16" t="e">
        <f>#REF!</f>
        <v>#REF!</v>
      </c>
      <c r="N43" s="18" t="e">
        <f>#REF!</f>
        <v>#REF!</v>
      </c>
      <c r="O43" s="16" t="e">
        <f>#REF!</f>
        <v>#REF!</v>
      </c>
      <c r="P43" s="11" t="e">
        <f>#REF!</f>
        <v>#REF!</v>
      </c>
      <c r="Q43" s="16" t="e">
        <f>#REF!</f>
        <v>#REF!</v>
      </c>
      <c r="R43" s="16" t="e">
        <f>#REF!</f>
        <v>#REF!</v>
      </c>
      <c r="S43" s="16" t="e">
        <f>#REF!</f>
        <v>#REF!</v>
      </c>
      <c r="T43" s="16" t="e">
        <f>#REF!</f>
        <v>#REF!</v>
      </c>
      <c r="U43" s="16" t="e">
        <f>#REF!</f>
        <v>#REF!</v>
      </c>
      <c r="V43" s="16" t="e">
        <f>#REF!</f>
        <v>#REF!</v>
      </c>
      <c r="W43" s="18" t="e">
        <f>#REF!</f>
        <v>#REF!</v>
      </c>
      <c r="X43" s="11" t="e">
        <f>#REF!</f>
        <v>#REF!</v>
      </c>
      <c r="Y43" s="11" t="e">
        <f>#REF!</f>
        <v>#REF!</v>
      </c>
      <c r="Z43" s="16" t="e">
        <f>#REF!</f>
        <v>#REF!</v>
      </c>
      <c r="AA43" s="11" t="e">
        <f>#REF!</f>
        <v>#REF!</v>
      </c>
      <c r="AB43" s="11" t="e">
        <f>#REF!</f>
        <v>#REF!</v>
      </c>
      <c r="AC43" s="11" t="e">
        <f>#REF!</f>
        <v>#REF!</v>
      </c>
      <c r="AD43" s="13"/>
      <c r="AE43" s="13"/>
      <c r="AF43" s="13"/>
      <c r="AG43" s="13"/>
      <c r="AH43" s="13"/>
    </row>
    <row r="44" spans="1:34" x14ac:dyDescent="0.2">
      <c r="A44" t="s">
        <v>16</v>
      </c>
      <c r="B44" s="6" t="e">
        <f>+#REF!</f>
        <v>#REF!</v>
      </c>
      <c r="C44" s="11" t="e">
        <f t="shared" si="3"/>
        <v>#REF!</v>
      </c>
      <c r="D44" s="16" t="e">
        <f t="shared" si="1"/>
        <v>#REF!</v>
      </c>
      <c r="E44" s="18" t="e">
        <f t="shared" si="4"/>
        <v>#REF!</v>
      </c>
      <c r="F44" s="11" t="e">
        <f>#REF!</f>
        <v>#REF!</v>
      </c>
      <c r="G44" s="11" t="e">
        <f>#REF!</f>
        <v>#REF!</v>
      </c>
      <c r="H44" s="11" t="e">
        <f>#REF!</f>
        <v>#REF!</v>
      </c>
      <c r="I44" s="11" t="e">
        <f>#REF!</f>
        <v>#REF!</v>
      </c>
      <c r="J44" s="16" t="e">
        <f>#REF!</f>
        <v>#REF!</v>
      </c>
      <c r="K44" s="16" t="e">
        <f>#REF!</f>
        <v>#REF!</v>
      </c>
      <c r="L44" s="16" t="e">
        <f>#REF!</f>
        <v>#REF!</v>
      </c>
      <c r="M44" s="16" t="e">
        <f>#REF!</f>
        <v>#REF!</v>
      </c>
      <c r="N44" s="18" t="e">
        <f>#REF!</f>
        <v>#REF!</v>
      </c>
      <c r="O44" s="16" t="e">
        <f>#REF!</f>
        <v>#REF!</v>
      </c>
      <c r="P44" s="11" t="e">
        <f>#REF!</f>
        <v>#REF!</v>
      </c>
      <c r="Q44" s="16" t="e">
        <f>#REF!</f>
        <v>#REF!</v>
      </c>
      <c r="R44" s="16" t="e">
        <f>#REF!</f>
        <v>#REF!</v>
      </c>
      <c r="S44" s="16" t="e">
        <f>#REF!</f>
        <v>#REF!</v>
      </c>
      <c r="T44" s="16" t="e">
        <f>#REF!</f>
        <v>#REF!</v>
      </c>
      <c r="U44" s="16" t="e">
        <f>#REF!</f>
        <v>#REF!</v>
      </c>
      <c r="V44" s="16" t="e">
        <f>#REF!</f>
        <v>#REF!</v>
      </c>
      <c r="W44" s="18" t="e">
        <f>#REF!</f>
        <v>#REF!</v>
      </c>
      <c r="X44" s="11" t="e">
        <f>#REF!</f>
        <v>#REF!</v>
      </c>
      <c r="Y44" s="11" t="e">
        <f>#REF!</f>
        <v>#REF!</v>
      </c>
      <c r="Z44" s="16" t="e">
        <f>#REF!</f>
        <v>#REF!</v>
      </c>
      <c r="AA44" s="11" t="e">
        <f>#REF!</f>
        <v>#REF!</v>
      </c>
      <c r="AB44" s="11" t="e">
        <f>#REF!</f>
        <v>#REF!</v>
      </c>
      <c r="AC44" s="11" t="e">
        <f>#REF!</f>
        <v>#REF!</v>
      </c>
      <c r="AD44" s="13"/>
      <c r="AE44" s="13"/>
      <c r="AF44" s="13"/>
      <c r="AG44" s="13"/>
      <c r="AH44" s="13"/>
    </row>
    <row r="45" spans="1:34" x14ac:dyDescent="0.2">
      <c r="A45" t="s">
        <v>17</v>
      </c>
      <c r="B45" s="6" t="e">
        <f>+#REF!</f>
        <v>#REF!</v>
      </c>
      <c r="C45" s="11" t="e">
        <f t="shared" si="3"/>
        <v>#REF!</v>
      </c>
      <c r="D45" s="16" t="e">
        <f t="shared" si="1"/>
        <v>#REF!</v>
      </c>
      <c r="E45" s="18" t="e">
        <f t="shared" si="4"/>
        <v>#REF!</v>
      </c>
      <c r="F45" s="11" t="e">
        <f>#REF!</f>
        <v>#REF!</v>
      </c>
      <c r="G45" s="11" t="e">
        <f>#REF!</f>
        <v>#REF!</v>
      </c>
      <c r="H45" s="11" t="e">
        <f>#REF!</f>
        <v>#REF!</v>
      </c>
      <c r="I45" s="11" t="e">
        <f>#REF!</f>
        <v>#REF!</v>
      </c>
      <c r="J45" s="16" t="e">
        <f>#REF!</f>
        <v>#REF!</v>
      </c>
      <c r="K45" s="16" t="e">
        <f>#REF!</f>
        <v>#REF!</v>
      </c>
      <c r="L45" s="16" t="e">
        <f>#REF!</f>
        <v>#REF!</v>
      </c>
      <c r="M45" s="16" t="e">
        <f>#REF!</f>
        <v>#REF!</v>
      </c>
      <c r="N45" s="18" t="e">
        <f>#REF!</f>
        <v>#REF!</v>
      </c>
      <c r="O45" s="16" t="e">
        <f>#REF!</f>
        <v>#REF!</v>
      </c>
      <c r="P45" s="11" t="e">
        <f>#REF!</f>
        <v>#REF!</v>
      </c>
      <c r="Q45" s="16" t="e">
        <f>#REF!</f>
        <v>#REF!</v>
      </c>
      <c r="R45" s="16" t="e">
        <f>#REF!</f>
        <v>#REF!</v>
      </c>
      <c r="S45" s="16" t="e">
        <f>#REF!</f>
        <v>#REF!</v>
      </c>
      <c r="T45" s="16" t="e">
        <f>#REF!</f>
        <v>#REF!</v>
      </c>
      <c r="U45" s="16" t="e">
        <f>#REF!</f>
        <v>#REF!</v>
      </c>
      <c r="V45" s="16" t="e">
        <f>#REF!</f>
        <v>#REF!</v>
      </c>
      <c r="W45" s="18" t="e">
        <f>#REF!</f>
        <v>#REF!</v>
      </c>
      <c r="X45" s="11" t="e">
        <f>#REF!</f>
        <v>#REF!</v>
      </c>
      <c r="Y45" s="11" t="e">
        <f>#REF!</f>
        <v>#REF!</v>
      </c>
      <c r="Z45" s="16" t="e">
        <f>#REF!</f>
        <v>#REF!</v>
      </c>
      <c r="AA45" s="11" t="e">
        <f>#REF!</f>
        <v>#REF!</v>
      </c>
      <c r="AB45" s="11" t="e">
        <f>#REF!</f>
        <v>#REF!</v>
      </c>
      <c r="AC45" s="11" t="e">
        <f>#REF!</f>
        <v>#REF!</v>
      </c>
      <c r="AD45" s="13"/>
      <c r="AE45" s="13"/>
      <c r="AF45" s="13"/>
      <c r="AG45" s="13"/>
      <c r="AH45" s="13"/>
    </row>
    <row r="46" spans="1:34" x14ac:dyDescent="0.2">
      <c r="A46" t="s">
        <v>18</v>
      </c>
      <c r="B46" s="6" t="e">
        <f>+#REF!</f>
        <v>#REF!</v>
      </c>
      <c r="C46" s="11" t="e">
        <f t="shared" si="3"/>
        <v>#REF!</v>
      </c>
      <c r="D46" s="16" t="e">
        <f t="shared" si="1"/>
        <v>#REF!</v>
      </c>
      <c r="E46" s="18" t="e">
        <f t="shared" si="4"/>
        <v>#REF!</v>
      </c>
      <c r="F46" s="11" t="e">
        <f>#REF!</f>
        <v>#REF!</v>
      </c>
      <c r="G46" s="11" t="e">
        <f>#REF!</f>
        <v>#REF!</v>
      </c>
      <c r="H46" s="11" t="e">
        <f>#REF!</f>
        <v>#REF!</v>
      </c>
      <c r="I46" s="11" t="e">
        <f>#REF!</f>
        <v>#REF!</v>
      </c>
      <c r="J46" s="16" t="e">
        <f>#REF!</f>
        <v>#REF!</v>
      </c>
      <c r="K46" s="16" t="e">
        <f>#REF!</f>
        <v>#REF!</v>
      </c>
      <c r="L46" s="16" t="e">
        <f>#REF!</f>
        <v>#REF!</v>
      </c>
      <c r="M46" s="16" t="e">
        <f>#REF!</f>
        <v>#REF!</v>
      </c>
      <c r="N46" s="18" t="e">
        <f>#REF!</f>
        <v>#REF!</v>
      </c>
      <c r="O46" s="16" t="e">
        <f>#REF!</f>
        <v>#REF!</v>
      </c>
      <c r="P46" s="11" t="e">
        <f>#REF!</f>
        <v>#REF!</v>
      </c>
      <c r="Q46" s="16" t="e">
        <f>#REF!</f>
        <v>#REF!</v>
      </c>
      <c r="R46" s="16" t="e">
        <f>#REF!</f>
        <v>#REF!</v>
      </c>
      <c r="S46" s="16" t="e">
        <f>#REF!</f>
        <v>#REF!</v>
      </c>
      <c r="T46" s="16" t="e">
        <f>#REF!</f>
        <v>#REF!</v>
      </c>
      <c r="U46" s="16" t="e">
        <f>#REF!</f>
        <v>#REF!</v>
      </c>
      <c r="V46" s="16" t="e">
        <f>#REF!</f>
        <v>#REF!</v>
      </c>
      <c r="W46" s="18" t="e">
        <f>#REF!</f>
        <v>#REF!</v>
      </c>
      <c r="X46" s="11" t="e">
        <f>#REF!</f>
        <v>#REF!</v>
      </c>
      <c r="Y46" s="11" t="e">
        <f>#REF!</f>
        <v>#REF!</v>
      </c>
      <c r="Z46" s="16" t="e">
        <f>#REF!</f>
        <v>#REF!</v>
      </c>
      <c r="AA46" s="11" t="e">
        <f>#REF!</f>
        <v>#REF!</v>
      </c>
      <c r="AB46" s="11" t="e">
        <f>#REF!</f>
        <v>#REF!</v>
      </c>
      <c r="AC46" s="11" t="e">
        <f>#REF!</f>
        <v>#REF!</v>
      </c>
      <c r="AD46" s="13"/>
      <c r="AE46" s="13"/>
      <c r="AF46" s="13"/>
      <c r="AG46" s="13"/>
      <c r="AH46" s="13"/>
    </row>
    <row r="47" spans="1:34" x14ac:dyDescent="0.2">
      <c r="A47" t="s">
        <v>19</v>
      </c>
      <c r="B47" s="6" t="e">
        <f>+#REF!</f>
        <v>#REF!</v>
      </c>
      <c r="C47" s="11" t="e">
        <f t="shared" si="3"/>
        <v>#REF!</v>
      </c>
      <c r="D47" s="16" t="e">
        <f t="shared" si="1"/>
        <v>#REF!</v>
      </c>
      <c r="E47" s="18" t="e">
        <f t="shared" si="4"/>
        <v>#REF!</v>
      </c>
      <c r="F47" s="11" t="e">
        <f>#REF!</f>
        <v>#REF!</v>
      </c>
      <c r="G47" s="11" t="e">
        <f>#REF!</f>
        <v>#REF!</v>
      </c>
      <c r="H47" s="11" t="e">
        <f>#REF!</f>
        <v>#REF!</v>
      </c>
      <c r="I47" s="11" t="e">
        <f>#REF!</f>
        <v>#REF!</v>
      </c>
      <c r="J47" s="16" t="e">
        <f>#REF!</f>
        <v>#REF!</v>
      </c>
      <c r="K47" s="16" t="e">
        <f>#REF!</f>
        <v>#REF!</v>
      </c>
      <c r="L47" s="16" t="e">
        <f>#REF!</f>
        <v>#REF!</v>
      </c>
      <c r="M47" s="16" t="e">
        <f>#REF!</f>
        <v>#REF!</v>
      </c>
      <c r="N47" s="18" t="e">
        <f>#REF!</f>
        <v>#REF!</v>
      </c>
      <c r="O47" s="16" t="e">
        <f>#REF!</f>
        <v>#REF!</v>
      </c>
      <c r="P47" s="11" t="e">
        <f>#REF!</f>
        <v>#REF!</v>
      </c>
      <c r="Q47" s="16" t="e">
        <f>#REF!</f>
        <v>#REF!</v>
      </c>
      <c r="R47" s="16" t="e">
        <f>#REF!</f>
        <v>#REF!</v>
      </c>
      <c r="S47" s="16" t="e">
        <f>#REF!</f>
        <v>#REF!</v>
      </c>
      <c r="T47" s="16" t="e">
        <f>#REF!</f>
        <v>#REF!</v>
      </c>
      <c r="U47" s="16" t="e">
        <f>#REF!</f>
        <v>#REF!</v>
      </c>
      <c r="V47" s="16" t="e">
        <f>#REF!</f>
        <v>#REF!</v>
      </c>
      <c r="W47" s="18" t="e">
        <f>#REF!</f>
        <v>#REF!</v>
      </c>
      <c r="X47" s="11" t="e">
        <f>#REF!</f>
        <v>#REF!</v>
      </c>
      <c r="Y47" s="11" t="e">
        <f>#REF!</f>
        <v>#REF!</v>
      </c>
      <c r="Z47" s="16" t="e">
        <f>#REF!</f>
        <v>#REF!</v>
      </c>
      <c r="AA47" s="11" t="e">
        <f>#REF!</f>
        <v>#REF!</v>
      </c>
      <c r="AB47" s="11" t="e">
        <f>#REF!</f>
        <v>#REF!</v>
      </c>
      <c r="AC47" s="11" t="e">
        <f>#REF!</f>
        <v>#REF!</v>
      </c>
      <c r="AD47" s="13"/>
      <c r="AE47" s="13"/>
      <c r="AF47" s="13"/>
      <c r="AG47" s="13"/>
      <c r="AH47" s="13"/>
    </row>
    <row r="48" spans="1:34" x14ac:dyDescent="0.2">
      <c r="A48" t="s">
        <v>20</v>
      </c>
      <c r="B48" s="6" t="e">
        <f>+#REF!</f>
        <v>#REF!</v>
      </c>
      <c r="C48" s="11" t="e">
        <f t="shared" si="3"/>
        <v>#REF!</v>
      </c>
      <c r="D48" s="16" t="e">
        <f t="shared" si="1"/>
        <v>#REF!</v>
      </c>
      <c r="E48" s="18" t="e">
        <f t="shared" si="4"/>
        <v>#REF!</v>
      </c>
      <c r="F48" s="11" t="e">
        <f>#REF!</f>
        <v>#REF!</v>
      </c>
      <c r="G48" s="11" t="e">
        <f>#REF!</f>
        <v>#REF!</v>
      </c>
      <c r="H48" s="11" t="e">
        <f>#REF!</f>
        <v>#REF!</v>
      </c>
      <c r="I48" s="11" t="e">
        <f>#REF!</f>
        <v>#REF!</v>
      </c>
      <c r="J48" s="16" t="e">
        <f>#REF!</f>
        <v>#REF!</v>
      </c>
      <c r="K48" s="16" t="e">
        <f>#REF!</f>
        <v>#REF!</v>
      </c>
      <c r="L48" s="16" t="e">
        <f>#REF!</f>
        <v>#REF!</v>
      </c>
      <c r="M48" s="16" t="e">
        <f>#REF!</f>
        <v>#REF!</v>
      </c>
      <c r="N48" s="18" t="e">
        <f>#REF!</f>
        <v>#REF!</v>
      </c>
      <c r="O48" s="16" t="e">
        <f>#REF!</f>
        <v>#REF!</v>
      </c>
      <c r="P48" s="11" t="e">
        <f>#REF!</f>
        <v>#REF!</v>
      </c>
      <c r="Q48" s="16" t="e">
        <f>#REF!</f>
        <v>#REF!</v>
      </c>
      <c r="R48" s="16" t="e">
        <f>#REF!</f>
        <v>#REF!</v>
      </c>
      <c r="S48" s="16" t="e">
        <f>#REF!</f>
        <v>#REF!</v>
      </c>
      <c r="T48" s="16" t="e">
        <f>#REF!</f>
        <v>#REF!</v>
      </c>
      <c r="U48" s="16" t="e">
        <f>#REF!</f>
        <v>#REF!</v>
      </c>
      <c r="V48" s="16" t="e">
        <f>#REF!</f>
        <v>#REF!</v>
      </c>
      <c r="W48" s="18" t="e">
        <f>#REF!</f>
        <v>#REF!</v>
      </c>
      <c r="X48" s="11" t="e">
        <f>#REF!</f>
        <v>#REF!</v>
      </c>
      <c r="Y48" s="11" t="e">
        <f>#REF!</f>
        <v>#REF!</v>
      </c>
      <c r="Z48" s="16" t="e">
        <f>#REF!</f>
        <v>#REF!</v>
      </c>
      <c r="AA48" s="11" t="e">
        <f>#REF!</f>
        <v>#REF!</v>
      </c>
      <c r="AB48" s="11" t="e">
        <f>#REF!</f>
        <v>#REF!</v>
      </c>
      <c r="AC48" s="11" t="e">
        <f>#REF!</f>
        <v>#REF!</v>
      </c>
      <c r="AD48" s="13"/>
      <c r="AE48" s="13"/>
      <c r="AF48" s="13"/>
      <c r="AG48" s="13"/>
      <c r="AH48" s="13"/>
    </row>
    <row r="49" spans="1:34" x14ac:dyDescent="0.2">
      <c r="A49" t="s">
        <v>21</v>
      </c>
      <c r="B49" s="6" t="e">
        <f>+#REF!</f>
        <v>#REF!</v>
      </c>
      <c r="C49" s="11" t="e">
        <f t="shared" si="3"/>
        <v>#REF!</v>
      </c>
      <c r="D49" s="16" t="e">
        <f t="shared" si="1"/>
        <v>#REF!</v>
      </c>
      <c r="E49" s="18" t="e">
        <f t="shared" si="4"/>
        <v>#REF!</v>
      </c>
      <c r="F49" s="11" t="e">
        <f>#REF!</f>
        <v>#REF!</v>
      </c>
      <c r="G49" s="11" t="e">
        <f>#REF!</f>
        <v>#REF!</v>
      </c>
      <c r="H49" s="11" t="e">
        <f>#REF!</f>
        <v>#REF!</v>
      </c>
      <c r="I49" s="11" t="e">
        <f>#REF!</f>
        <v>#REF!</v>
      </c>
      <c r="J49" s="16" t="e">
        <f>#REF!</f>
        <v>#REF!</v>
      </c>
      <c r="K49" s="16" t="e">
        <f>#REF!</f>
        <v>#REF!</v>
      </c>
      <c r="L49" s="16" t="e">
        <f>#REF!</f>
        <v>#REF!</v>
      </c>
      <c r="M49" s="16" t="e">
        <f>#REF!</f>
        <v>#REF!</v>
      </c>
      <c r="N49" s="18" t="e">
        <f>#REF!</f>
        <v>#REF!</v>
      </c>
      <c r="O49" s="16" t="e">
        <f>#REF!</f>
        <v>#REF!</v>
      </c>
      <c r="P49" s="11" t="e">
        <f>#REF!</f>
        <v>#REF!</v>
      </c>
      <c r="Q49" s="16" t="e">
        <f>#REF!</f>
        <v>#REF!</v>
      </c>
      <c r="R49" s="16" t="e">
        <f>#REF!</f>
        <v>#REF!</v>
      </c>
      <c r="S49" s="16" t="e">
        <f>#REF!</f>
        <v>#REF!</v>
      </c>
      <c r="T49" s="16" t="e">
        <f>#REF!</f>
        <v>#REF!</v>
      </c>
      <c r="U49" s="16" t="e">
        <f>#REF!</f>
        <v>#REF!</v>
      </c>
      <c r="V49" s="16" t="e">
        <f>#REF!</f>
        <v>#REF!</v>
      </c>
      <c r="W49" s="18" t="e">
        <f>#REF!</f>
        <v>#REF!</v>
      </c>
      <c r="X49" s="11" t="e">
        <f>#REF!</f>
        <v>#REF!</v>
      </c>
      <c r="Y49" s="11" t="e">
        <f>#REF!</f>
        <v>#REF!</v>
      </c>
      <c r="Z49" s="16" t="e">
        <f>#REF!</f>
        <v>#REF!</v>
      </c>
      <c r="AA49" s="11" t="e">
        <f>#REF!</f>
        <v>#REF!</v>
      </c>
      <c r="AB49" s="11" t="e">
        <f>#REF!</f>
        <v>#REF!</v>
      </c>
      <c r="AC49" s="11" t="e">
        <f>#REF!</f>
        <v>#REF!</v>
      </c>
      <c r="AD49" s="13"/>
      <c r="AE49" s="13"/>
      <c r="AF49" s="13"/>
      <c r="AG49" s="13"/>
      <c r="AH49" s="13"/>
    </row>
    <row r="50" spans="1:34" x14ac:dyDescent="0.2">
      <c r="A50" t="s">
        <v>22</v>
      </c>
      <c r="B50" s="6" t="e">
        <f>+#REF!</f>
        <v>#REF!</v>
      </c>
      <c r="C50" s="11" t="e">
        <f t="shared" si="3"/>
        <v>#REF!</v>
      </c>
      <c r="D50" s="16" t="e">
        <f t="shared" si="1"/>
        <v>#REF!</v>
      </c>
      <c r="E50" s="18" t="e">
        <f t="shared" si="4"/>
        <v>#REF!</v>
      </c>
      <c r="F50" s="11" t="e">
        <f>#REF!</f>
        <v>#REF!</v>
      </c>
      <c r="G50" s="11" t="e">
        <f>#REF!</f>
        <v>#REF!</v>
      </c>
      <c r="H50" s="11" t="e">
        <f>#REF!</f>
        <v>#REF!</v>
      </c>
      <c r="I50" s="11" t="e">
        <f>#REF!</f>
        <v>#REF!</v>
      </c>
      <c r="J50" s="16" t="e">
        <f>#REF!</f>
        <v>#REF!</v>
      </c>
      <c r="K50" s="16" t="e">
        <f>#REF!</f>
        <v>#REF!</v>
      </c>
      <c r="L50" s="16" t="e">
        <f>#REF!</f>
        <v>#REF!</v>
      </c>
      <c r="M50" s="16" t="e">
        <f>#REF!</f>
        <v>#REF!</v>
      </c>
      <c r="N50" s="18" t="e">
        <f>#REF!</f>
        <v>#REF!</v>
      </c>
      <c r="O50" s="16" t="e">
        <f>#REF!</f>
        <v>#REF!</v>
      </c>
      <c r="P50" s="11" t="e">
        <f>#REF!</f>
        <v>#REF!</v>
      </c>
      <c r="Q50" s="16" t="e">
        <f>#REF!</f>
        <v>#REF!</v>
      </c>
      <c r="R50" s="16" t="e">
        <f>#REF!</f>
        <v>#REF!</v>
      </c>
      <c r="S50" s="16" t="e">
        <f>#REF!</f>
        <v>#REF!</v>
      </c>
      <c r="T50" s="16" t="e">
        <f>#REF!</f>
        <v>#REF!</v>
      </c>
      <c r="U50" s="16" t="e">
        <f>#REF!</f>
        <v>#REF!</v>
      </c>
      <c r="V50" s="16" t="e">
        <f>#REF!</f>
        <v>#REF!</v>
      </c>
      <c r="W50" s="18" t="e">
        <f>#REF!</f>
        <v>#REF!</v>
      </c>
      <c r="X50" s="11" t="e">
        <f>#REF!</f>
        <v>#REF!</v>
      </c>
      <c r="Y50" s="11" t="e">
        <f>#REF!</f>
        <v>#REF!</v>
      </c>
      <c r="Z50" s="16" t="e">
        <f>#REF!</f>
        <v>#REF!</v>
      </c>
      <c r="AA50" s="11" t="e">
        <f>#REF!</f>
        <v>#REF!</v>
      </c>
      <c r="AB50" s="11" t="e">
        <f>#REF!</f>
        <v>#REF!</v>
      </c>
      <c r="AC50" s="11" t="e">
        <f>#REF!</f>
        <v>#REF!</v>
      </c>
      <c r="AD50" s="13"/>
      <c r="AE50" s="13"/>
      <c r="AF50" s="13"/>
      <c r="AG50" s="13"/>
      <c r="AH50" s="13"/>
    </row>
    <row r="51" spans="1:34" x14ac:dyDescent="0.2">
      <c r="A51" t="s">
        <v>23</v>
      </c>
      <c r="B51" s="6" t="e">
        <f>+#REF!</f>
        <v>#REF!</v>
      </c>
      <c r="C51" s="11" t="e">
        <f t="shared" si="3"/>
        <v>#REF!</v>
      </c>
      <c r="D51" s="16" t="e">
        <f t="shared" si="1"/>
        <v>#REF!</v>
      </c>
      <c r="E51" s="18" t="e">
        <f t="shared" si="4"/>
        <v>#REF!</v>
      </c>
      <c r="F51" s="11" t="e">
        <f>#REF!</f>
        <v>#REF!</v>
      </c>
      <c r="G51" s="11" t="e">
        <f>#REF!</f>
        <v>#REF!</v>
      </c>
      <c r="H51" s="11" t="e">
        <f>#REF!</f>
        <v>#REF!</v>
      </c>
      <c r="I51" s="11" t="e">
        <f>#REF!</f>
        <v>#REF!</v>
      </c>
      <c r="J51" s="16" t="e">
        <f>#REF!</f>
        <v>#REF!</v>
      </c>
      <c r="K51" s="16" t="e">
        <f>#REF!</f>
        <v>#REF!</v>
      </c>
      <c r="L51" s="16" t="e">
        <f>#REF!</f>
        <v>#REF!</v>
      </c>
      <c r="M51" s="16" t="e">
        <f>#REF!</f>
        <v>#REF!</v>
      </c>
      <c r="N51" s="18" t="e">
        <f>#REF!</f>
        <v>#REF!</v>
      </c>
      <c r="O51" s="16" t="e">
        <f>#REF!</f>
        <v>#REF!</v>
      </c>
      <c r="P51" s="11" t="e">
        <f>#REF!</f>
        <v>#REF!</v>
      </c>
      <c r="Q51" s="16" t="e">
        <f>#REF!</f>
        <v>#REF!</v>
      </c>
      <c r="R51" s="16" t="e">
        <f>#REF!</f>
        <v>#REF!</v>
      </c>
      <c r="S51" s="16" t="e">
        <f>#REF!</f>
        <v>#REF!</v>
      </c>
      <c r="T51" s="16" t="e">
        <f>#REF!</f>
        <v>#REF!</v>
      </c>
      <c r="U51" s="16" t="e">
        <f>#REF!</f>
        <v>#REF!</v>
      </c>
      <c r="V51" s="16" t="e">
        <f>#REF!</f>
        <v>#REF!</v>
      </c>
      <c r="W51" s="18" t="e">
        <f>#REF!</f>
        <v>#REF!</v>
      </c>
      <c r="X51" s="11" t="e">
        <f>#REF!</f>
        <v>#REF!</v>
      </c>
      <c r="Y51" s="11" t="e">
        <f>#REF!</f>
        <v>#REF!</v>
      </c>
      <c r="Z51" s="16" t="e">
        <f>#REF!</f>
        <v>#REF!</v>
      </c>
      <c r="AA51" s="11" t="e">
        <f>#REF!</f>
        <v>#REF!</v>
      </c>
      <c r="AB51" s="11" t="e">
        <f>#REF!</f>
        <v>#REF!</v>
      </c>
      <c r="AC51" s="11" t="e">
        <f>#REF!</f>
        <v>#REF!</v>
      </c>
      <c r="AD51" s="13"/>
      <c r="AE51" s="13"/>
      <c r="AF51" s="13"/>
      <c r="AG51" s="13"/>
      <c r="AH51" s="13"/>
    </row>
    <row r="52" spans="1:34" x14ac:dyDescent="0.2">
      <c r="A52" t="s">
        <v>24</v>
      </c>
      <c r="B52" s="6" t="e">
        <f>+#REF!</f>
        <v>#REF!</v>
      </c>
      <c r="C52" s="11" t="e">
        <f t="shared" si="3"/>
        <v>#REF!</v>
      </c>
      <c r="D52" s="16" t="e">
        <f t="shared" si="1"/>
        <v>#REF!</v>
      </c>
      <c r="E52" s="18" t="e">
        <f t="shared" si="4"/>
        <v>#REF!</v>
      </c>
      <c r="F52" s="11" t="e">
        <f>#REF!</f>
        <v>#REF!</v>
      </c>
      <c r="G52" s="11" t="e">
        <f>#REF!</f>
        <v>#REF!</v>
      </c>
      <c r="H52" s="11" t="e">
        <f>#REF!</f>
        <v>#REF!</v>
      </c>
      <c r="I52" s="11" t="e">
        <f>#REF!</f>
        <v>#REF!</v>
      </c>
      <c r="J52" s="16" t="e">
        <f>#REF!</f>
        <v>#REF!</v>
      </c>
      <c r="K52" s="16" t="e">
        <f>#REF!</f>
        <v>#REF!</v>
      </c>
      <c r="L52" s="16" t="e">
        <f>#REF!</f>
        <v>#REF!</v>
      </c>
      <c r="M52" s="16" t="e">
        <f>#REF!</f>
        <v>#REF!</v>
      </c>
      <c r="N52" s="18" t="e">
        <f>#REF!</f>
        <v>#REF!</v>
      </c>
      <c r="O52" s="16" t="e">
        <f>#REF!</f>
        <v>#REF!</v>
      </c>
      <c r="P52" s="11" t="e">
        <f>#REF!</f>
        <v>#REF!</v>
      </c>
      <c r="Q52" s="16" t="e">
        <f>#REF!</f>
        <v>#REF!</v>
      </c>
      <c r="R52" s="16" t="e">
        <f>#REF!</f>
        <v>#REF!</v>
      </c>
      <c r="S52" s="16" t="e">
        <f>#REF!</f>
        <v>#REF!</v>
      </c>
      <c r="T52" s="16" t="e">
        <f>#REF!</f>
        <v>#REF!</v>
      </c>
      <c r="U52" s="16" t="e">
        <f>#REF!</f>
        <v>#REF!</v>
      </c>
      <c r="V52" s="16" t="e">
        <f>#REF!</f>
        <v>#REF!</v>
      </c>
      <c r="W52" s="18" t="e">
        <f>#REF!</f>
        <v>#REF!</v>
      </c>
      <c r="X52" s="11" t="e">
        <f>#REF!</f>
        <v>#REF!</v>
      </c>
      <c r="Y52" s="11" t="e">
        <f>#REF!</f>
        <v>#REF!</v>
      </c>
      <c r="Z52" s="16" t="e">
        <f>#REF!</f>
        <v>#REF!</v>
      </c>
      <c r="AA52" s="11" t="e">
        <f>#REF!</f>
        <v>#REF!</v>
      </c>
      <c r="AB52" s="11" t="e">
        <f>#REF!</f>
        <v>#REF!</v>
      </c>
      <c r="AC52" s="11" t="e">
        <f>#REF!</f>
        <v>#REF!</v>
      </c>
      <c r="AD52" s="13"/>
      <c r="AE52" s="13"/>
      <c r="AF52" s="13"/>
      <c r="AG52" s="13"/>
      <c r="AH52" s="13"/>
    </row>
    <row r="53" spans="1:34" x14ac:dyDescent="0.2">
      <c r="A53" t="s">
        <v>25</v>
      </c>
      <c r="B53" s="6" t="e">
        <f>+#REF!</f>
        <v>#REF!</v>
      </c>
      <c r="C53" s="11" t="e">
        <f t="shared" si="3"/>
        <v>#REF!</v>
      </c>
      <c r="D53" s="16" t="e">
        <f t="shared" si="1"/>
        <v>#REF!</v>
      </c>
      <c r="E53" s="18" t="e">
        <f t="shared" si="4"/>
        <v>#REF!</v>
      </c>
      <c r="F53" s="11" t="e">
        <f>#REF!</f>
        <v>#REF!</v>
      </c>
      <c r="G53" s="11" t="e">
        <f>#REF!</f>
        <v>#REF!</v>
      </c>
      <c r="H53" s="11" t="e">
        <f>#REF!</f>
        <v>#REF!</v>
      </c>
      <c r="I53" s="11" t="e">
        <f>#REF!</f>
        <v>#REF!</v>
      </c>
      <c r="J53" s="16" t="e">
        <f>#REF!</f>
        <v>#REF!</v>
      </c>
      <c r="K53" s="16" t="e">
        <f>#REF!</f>
        <v>#REF!</v>
      </c>
      <c r="L53" s="16" t="e">
        <f>#REF!</f>
        <v>#REF!</v>
      </c>
      <c r="M53" s="16" t="e">
        <f>#REF!</f>
        <v>#REF!</v>
      </c>
      <c r="N53" s="18" t="e">
        <f>#REF!</f>
        <v>#REF!</v>
      </c>
      <c r="O53" s="16" t="e">
        <f>#REF!</f>
        <v>#REF!</v>
      </c>
      <c r="P53" s="11" t="e">
        <f>#REF!</f>
        <v>#REF!</v>
      </c>
      <c r="Q53" s="16" t="e">
        <f>#REF!</f>
        <v>#REF!</v>
      </c>
      <c r="R53" s="16" t="e">
        <f>#REF!</f>
        <v>#REF!</v>
      </c>
      <c r="S53" s="16" t="e">
        <f>#REF!</f>
        <v>#REF!</v>
      </c>
      <c r="T53" s="16" t="e">
        <f>#REF!</f>
        <v>#REF!</v>
      </c>
      <c r="U53" s="16" t="e">
        <f>#REF!</f>
        <v>#REF!</v>
      </c>
      <c r="V53" s="16" t="e">
        <f>#REF!</f>
        <v>#REF!</v>
      </c>
      <c r="W53" s="18" t="e">
        <f>#REF!</f>
        <v>#REF!</v>
      </c>
      <c r="X53" s="11" t="e">
        <f>#REF!</f>
        <v>#REF!</v>
      </c>
      <c r="Y53" s="11" t="e">
        <f>#REF!</f>
        <v>#REF!</v>
      </c>
      <c r="Z53" s="16" t="e">
        <f>#REF!</f>
        <v>#REF!</v>
      </c>
      <c r="AA53" s="11" t="e">
        <f>#REF!</f>
        <v>#REF!</v>
      </c>
      <c r="AB53" s="11" t="e">
        <f>#REF!</f>
        <v>#REF!</v>
      </c>
      <c r="AC53" s="11" t="e">
        <f>#REF!</f>
        <v>#REF!</v>
      </c>
      <c r="AD53" s="13"/>
      <c r="AE53" s="13"/>
      <c r="AF53" s="13"/>
      <c r="AG53" s="13"/>
      <c r="AH53" s="13"/>
    </row>
    <row r="54" spans="1:34" x14ac:dyDescent="0.2">
      <c r="A54" t="s">
        <v>26</v>
      </c>
      <c r="B54" s="6" t="e">
        <f>+#REF!</f>
        <v>#REF!</v>
      </c>
      <c r="C54" s="11" t="e">
        <f t="shared" si="3"/>
        <v>#REF!</v>
      </c>
      <c r="D54" s="16" t="e">
        <f t="shared" si="1"/>
        <v>#REF!</v>
      </c>
      <c r="E54" s="18" t="e">
        <f t="shared" si="4"/>
        <v>#REF!</v>
      </c>
      <c r="F54" s="11" t="e">
        <f>#REF!</f>
        <v>#REF!</v>
      </c>
      <c r="G54" s="11" t="e">
        <f>#REF!</f>
        <v>#REF!</v>
      </c>
      <c r="H54" s="11" t="e">
        <f>#REF!</f>
        <v>#REF!</v>
      </c>
      <c r="I54" s="11" t="e">
        <f>#REF!</f>
        <v>#REF!</v>
      </c>
      <c r="J54" s="16" t="e">
        <f>#REF!</f>
        <v>#REF!</v>
      </c>
      <c r="K54" s="16" t="e">
        <f>#REF!</f>
        <v>#REF!</v>
      </c>
      <c r="L54" s="16" t="e">
        <f>#REF!</f>
        <v>#REF!</v>
      </c>
      <c r="M54" s="16" t="e">
        <f>#REF!</f>
        <v>#REF!</v>
      </c>
      <c r="N54" s="18" t="e">
        <f>#REF!</f>
        <v>#REF!</v>
      </c>
      <c r="O54" s="16" t="e">
        <f>#REF!</f>
        <v>#REF!</v>
      </c>
      <c r="P54" s="11" t="e">
        <f>#REF!</f>
        <v>#REF!</v>
      </c>
      <c r="Q54" s="16" t="e">
        <f>#REF!</f>
        <v>#REF!</v>
      </c>
      <c r="R54" s="16" t="e">
        <f>#REF!</f>
        <v>#REF!</v>
      </c>
      <c r="S54" s="16" t="e">
        <f>#REF!</f>
        <v>#REF!</v>
      </c>
      <c r="T54" s="16" t="e">
        <f>#REF!</f>
        <v>#REF!</v>
      </c>
      <c r="U54" s="16" t="e">
        <f>#REF!</f>
        <v>#REF!</v>
      </c>
      <c r="V54" s="16" t="e">
        <f>#REF!</f>
        <v>#REF!</v>
      </c>
      <c r="W54" s="18" t="e">
        <f>#REF!</f>
        <v>#REF!</v>
      </c>
      <c r="X54" s="11" t="e">
        <f>#REF!</f>
        <v>#REF!</v>
      </c>
      <c r="Y54" s="11" t="e">
        <f>#REF!</f>
        <v>#REF!</v>
      </c>
      <c r="Z54" s="16" t="e">
        <f>#REF!</f>
        <v>#REF!</v>
      </c>
      <c r="AA54" s="11" t="e">
        <f>#REF!</f>
        <v>#REF!</v>
      </c>
      <c r="AB54" s="11" t="e">
        <f>#REF!</f>
        <v>#REF!</v>
      </c>
      <c r="AC54" s="11" t="e">
        <f>#REF!</f>
        <v>#REF!</v>
      </c>
      <c r="AD54" s="13"/>
      <c r="AE54" s="13"/>
      <c r="AF54" s="13"/>
      <c r="AG54" s="13"/>
      <c r="AH54" s="13"/>
    </row>
    <row r="55" spans="1:34" x14ac:dyDescent="0.2">
      <c r="A55" t="s">
        <v>27</v>
      </c>
      <c r="B55" s="6" t="e">
        <f>+#REF!</f>
        <v>#REF!</v>
      </c>
      <c r="C55" s="11" t="e">
        <f t="shared" si="3"/>
        <v>#REF!</v>
      </c>
      <c r="D55" s="16" t="e">
        <f t="shared" si="1"/>
        <v>#REF!</v>
      </c>
      <c r="E55" s="18" t="e">
        <f t="shared" si="4"/>
        <v>#REF!</v>
      </c>
      <c r="F55" s="11" t="e">
        <f>#REF!</f>
        <v>#REF!</v>
      </c>
      <c r="G55" s="11" t="e">
        <f>#REF!</f>
        <v>#REF!</v>
      </c>
      <c r="H55" s="11" t="e">
        <f>#REF!</f>
        <v>#REF!</v>
      </c>
      <c r="I55" s="11" t="e">
        <f>#REF!</f>
        <v>#REF!</v>
      </c>
      <c r="J55" s="16" t="e">
        <f>#REF!</f>
        <v>#REF!</v>
      </c>
      <c r="K55" s="16" t="e">
        <f>#REF!</f>
        <v>#REF!</v>
      </c>
      <c r="L55" s="16" t="e">
        <f>#REF!</f>
        <v>#REF!</v>
      </c>
      <c r="M55" s="16" t="e">
        <f>#REF!</f>
        <v>#REF!</v>
      </c>
      <c r="N55" s="18" t="e">
        <f>#REF!</f>
        <v>#REF!</v>
      </c>
      <c r="O55" s="16" t="e">
        <f>#REF!</f>
        <v>#REF!</v>
      </c>
      <c r="P55" s="11" t="e">
        <f>#REF!</f>
        <v>#REF!</v>
      </c>
      <c r="Q55" s="16" t="e">
        <f>#REF!</f>
        <v>#REF!</v>
      </c>
      <c r="R55" s="16" t="e">
        <f>#REF!</f>
        <v>#REF!</v>
      </c>
      <c r="S55" s="16" t="e">
        <f>#REF!</f>
        <v>#REF!</v>
      </c>
      <c r="T55" s="16" t="e">
        <f>#REF!</f>
        <v>#REF!</v>
      </c>
      <c r="U55" s="16" t="e">
        <f>#REF!</f>
        <v>#REF!</v>
      </c>
      <c r="V55" s="16" t="e">
        <f>#REF!</f>
        <v>#REF!</v>
      </c>
      <c r="W55" s="18" t="e">
        <f>#REF!</f>
        <v>#REF!</v>
      </c>
      <c r="X55" s="11" t="e">
        <f>#REF!</f>
        <v>#REF!</v>
      </c>
      <c r="Y55" s="11" t="e">
        <f>#REF!</f>
        <v>#REF!</v>
      </c>
      <c r="Z55" s="16" t="e">
        <f>#REF!</f>
        <v>#REF!</v>
      </c>
      <c r="AA55" s="11" t="e">
        <f>#REF!</f>
        <v>#REF!</v>
      </c>
      <c r="AB55" s="11" t="e">
        <f>#REF!</f>
        <v>#REF!</v>
      </c>
      <c r="AC55" s="11" t="e">
        <f>#REF!</f>
        <v>#REF!</v>
      </c>
      <c r="AD55" s="13"/>
      <c r="AE55" s="13"/>
      <c r="AF55" s="13"/>
      <c r="AG55" s="13"/>
      <c r="AH55" s="13"/>
    </row>
    <row r="56" spans="1:34" x14ac:dyDescent="0.2">
      <c r="A56" t="s">
        <v>28</v>
      </c>
      <c r="B56" s="6" t="e">
        <f>+#REF!</f>
        <v>#REF!</v>
      </c>
      <c r="C56" s="11" t="e">
        <f t="shared" si="3"/>
        <v>#REF!</v>
      </c>
      <c r="D56" s="16" t="e">
        <f t="shared" si="1"/>
        <v>#REF!</v>
      </c>
      <c r="E56" s="18" t="e">
        <f t="shared" si="4"/>
        <v>#REF!</v>
      </c>
      <c r="F56" s="11" t="e">
        <f>#REF!</f>
        <v>#REF!</v>
      </c>
      <c r="G56" s="11" t="e">
        <f>#REF!</f>
        <v>#REF!</v>
      </c>
      <c r="H56" s="11" t="e">
        <f>#REF!</f>
        <v>#REF!</v>
      </c>
      <c r="I56" s="11" t="e">
        <f>#REF!</f>
        <v>#REF!</v>
      </c>
      <c r="J56" s="16" t="e">
        <f>#REF!</f>
        <v>#REF!</v>
      </c>
      <c r="K56" s="16" t="e">
        <f>#REF!</f>
        <v>#REF!</v>
      </c>
      <c r="L56" s="16" t="e">
        <f>#REF!</f>
        <v>#REF!</v>
      </c>
      <c r="M56" s="16" t="e">
        <f>#REF!</f>
        <v>#REF!</v>
      </c>
      <c r="N56" s="18" t="e">
        <f>#REF!</f>
        <v>#REF!</v>
      </c>
      <c r="O56" s="16" t="e">
        <f>#REF!</f>
        <v>#REF!</v>
      </c>
      <c r="P56" s="11" t="e">
        <f>#REF!</f>
        <v>#REF!</v>
      </c>
      <c r="Q56" s="16" t="e">
        <f>#REF!</f>
        <v>#REF!</v>
      </c>
      <c r="R56" s="16" t="e">
        <f>#REF!</f>
        <v>#REF!</v>
      </c>
      <c r="S56" s="16" t="e">
        <f>#REF!</f>
        <v>#REF!</v>
      </c>
      <c r="T56" s="16" t="e">
        <f>#REF!</f>
        <v>#REF!</v>
      </c>
      <c r="U56" s="16" t="e">
        <f>#REF!</f>
        <v>#REF!</v>
      </c>
      <c r="V56" s="16" t="e">
        <f>#REF!</f>
        <v>#REF!</v>
      </c>
      <c r="W56" s="18" t="e">
        <f>#REF!</f>
        <v>#REF!</v>
      </c>
      <c r="X56" s="11" t="e">
        <f>#REF!</f>
        <v>#REF!</v>
      </c>
      <c r="Y56" s="11" t="e">
        <f>#REF!</f>
        <v>#REF!</v>
      </c>
      <c r="Z56" s="16" t="e">
        <f>#REF!</f>
        <v>#REF!</v>
      </c>
      <c r="AA56" s="11" t="e">
        <f>#REF!</f>
        <v>#REF!</v>
      </c>
      <c r="AB56" s="11" t="e">
        <f>#REF!</f>
        <v>#REF!</v>
      </c>
      <c r="AC56" s="11" t="e">
        <f>#REF!</f>
        <v>#REF!</v>
      </c>
      <c r="AD56" s="13"/>
      <c r="AE56" s="13"/>
      <c r="AF56" s="13"/>
      <c r="AG56" s="13"/>
      <c r="AH56" s="13"/>
    </row>
    <row r="57" spans="1:34" x14ac:dyDescent="0.2">
      <c r="A57" t="s">
        <v>29</v>
      </c>
      <c r="B57" s="6" t="e">
        <f>+#REF!</f>
        <v>#REF!</v>
      </c>
      <c r="C57" s="11" t="e">
        <f t="shared" si="3"/>
        <v>#REF!</v>
      </c>
      <c r="D57" s="16" t="e">
        <f t="shared" si="1"/>
        <v>#REF!</v>
      </c>
      <c r="E57" s="18" t="e">
        <f t="shared" si="4"/>
        <v>#REF!</v>
      </c>
      <c r="F57" s="11" t="e">
        <f>#REF!</f>
        <v>#REF!</v>
      </c>
      <c r="G57" s="11" t="e">
        <f>#REF!</f>
        <v>#REF!</v>
      </c>
      <c r="H57" s="11" t="e">
        <f>#REF!</f>
        <v>#REF!</v>
      </c>
      <c r="I57" s="11" t="e">
        <f>#REF!</f>
        <v>#REF!</v>
      </c>
      <c r="J57" s="16" t="e">
        <f>#REF!</f>
        <v>#REF!</v>
      </c>
      <c r="K57" s="16" t="e">
        <f>#REF!</f>
        <v>#REF!</v>
      </c>
      <c r="L57" s="16" t="e">
        <f>#REF!</f>
        <v>#REF!</v>
      </c>
      <c r="M57" s="16" t="e">
        <f>#REF!</f>
        <v>#REF!</v>
      </c>
      <c r="N57" s="18" t="e">
        <f>#REF!</f>
        <v>#REF!</v>
      </c>
      <c r="O57" s="16" t="e">
        <f>#REF!</f>
        <v>#REF!</v>
      </c>
      <c r="P57" s="11" t="e">
        <f>#REF!</f>
        <v>#REF!</v>
      </c>
      <c r="Q57" s="16" t="e">
        <f>#REF!</f>
        <v>#REF!</v>
      </c>
      <c r="R57" s="16" t="e">
        <f>#REF!</f>
        <v>#REF!</v>
      </c>
      <c r="S57" s="16" t="e">
        <f>#REF!</f>
        <v>#REF!</v>
      </c>
      <c r="T57" s="16" t="e">
        <f>#REF!</f>
        <v>#REF!</v>
      </c>
      <c r="U57" s="16" t="e">
        <f>#REF!</f>
        <v>#REF!</v>
      </c>
      <c r="V57" s="16" t="e">
        <f>#REF!</f>
        <v>#REF!</v>
      </c>
      <c r="W57" s="18" t="e">
        <f>#REF!</f>
        <v>#REF!</v>
      </c>
      <c r="X57" s="11" t="e">
        <f>#REF!</f>
        <v>#REF!</v>
      </c>
      <c r="Y57" s="11" t="e">
        <f>#REF!</f>
        <v>#REF!</v>
      </c>
      <c r="Z57" s="16" t="e">
        <f>#REF!</f>
        <v>#REF!</v>
      </c>
      <c r="AA57" s="11" t="e">
        <f>#REF!</f>
        <v>#REF!</v>
      </c>
      <c r="AB57" s="11" t="e">
        <f>#REF!</f>
        <v>#REF!</v>
      </c>
      <c r="AC57" s="11" t="e">
        <f>#REF!</f>
        <v>#REF!</v>
      </c>
      <c r="AD57" s="13"/>
      <c r="AE57" s="13"/>
      <c r="AF57" s="13"/>
      <c r="AG57" s="13"/>
      <c r="AH57" s="13"/>
    </row>
    <row r="58" spans="1:34" x14ac:dyDescent="0.2">
      <c r="A58" t="s">
        <v>30</v>
      </c>
      <c r="B58" s="6" t="e">
        <f>+#REF!</f>
        <v>#REF!</v>
      </c>
      <c r="C58" s="11" t="e">
        <f t="shared" si="3"/>
        <v>#REF!</v>
      </c>
      <c r="D58" s="16" t="e">
        <f t="shared" si="1"/>
        <v>#REF!</v>
      </c>
      <c r="E58" s="18" t="e">
        <f t="shared" si="4"/>
        <v>#REF!</v>
      </c>
      <c r="F58" s="11" t="e">
        <f>#REF!</f>
        <v>#REF!</v>
      </c>
      <c r="G58" s="11" t="e">
        <f>#REF!</f>
        <v>#REF!</v>
      </c>
      <c r="H58" s="11" t="e">
        <f>#REF!</f>
        <v>#REF!</v>
      </c>
      <c r="I58" s="11" t="e">
        <f>#REF!</f>
        <v>#REF!</v>
      </c>
      <c r="J58" s="16" t="e">
        <f>#REF!</f>
        <v>#REF!</v>
      </c>
      <c r="K58" s="16" t="e">
        <f>#REF!</f>
        <v>#REF!</v>
      </c>
      <c r="L58" s="16" t="e">
        <f>#REF!</f>
        <v>#REF!</v>
      </c>
      <c r="M58" s="16" t="e">
        <f>#REF!</f>
        <v>#REF!</v>
      </c>
      <c r="N58" s="18" t="e">
        <f>#REF!</f>
        <v>#REF!</v>
      </c>
      <c r="O58" s="16" t="e">
        <f>#REF!</f>
        <v>#REF!</v>
      </c>
      <c r="P58" s="11" t="e">
        <f>#REF!</f>
        <v>#REF!</v>
      </c>
      <c r="Q58" s="16" t="e">
        <f>#REF!</f>
        <v>#REF!</v>
      </c>
      <c r="R58" s="16" t="e">
        <f>#REF!</f>
        <v>#REF!</v>
      </c>
      <c r="S58" s="16" t="e">
        <f>#REF!</f>
        <v>#REF!</v>
      </c>
      <c r="T58" s="16" t="e">
        <f>#REF!</f>
        <v>#REF!</v>
      </c>
      <c r="U58" s="16" t="e">
        <f>#REF!</f>
        <v>#REF!</v>
      </c>
      <c r="V58" s="16" t="e">
        <f>#REF!</f>
        <v>#REF!</v>
      </c>
      <c r="W58" s="18" t="e">
        <f>#REF!</f>
        <v>#REF!</v>
      </c>
      <c r="X58" s="11" t="e">
        <f>#REF!</f>
        <v>#REF!</v>
      </c>
      <c r="Y58" s="11" t="e">
        <f>#REF!</f>
        <v>#REF!</v>
      </c>
      <c r="Z58" s="16" t="e">
        <f>#REF!</f>
        <v>#REF!</v>
      </c>
      <c r="AA58" s="11" t="e">
        <f>#REF!</f>
        <v>#REF!</v>
      </c>
      <c r="AB58" s="11" t="e">
        <f>#REF!</f>
        <v>#REF!</v>
      </c>
      <c r="AC58" s="11" t="e">
        <f>#REF!</f>
        <v>#REF!</v>
      </c>
      <c r="AD58" s="13"/>
      <c r="AE58" s="13"/>
      <c r="AF58" s="13"/>
      <c r="AG58" s="13"/>
      <c r="AH58" s="13"/>
    </row>
    <row r="59" spans="1:34" x14ac:dyDescent="0.2">
      <c r="A59" t="s">
        <v>31</v>
      </c>
      <c r="B59" s="6" t="e">
        <f>+#REF!</f>
        <v>#REF!</v>
      </c>
      <c r="C59" s="11" t="e">
        <f t="shared" si="3"/>
        <v>#REF!</v>
      </c>
      <c r="D59" s="16" t="e">
        <f t="shared" si="1"/>
        <v>#REF!</v>
      </c>
      <c r="E59" s="18" t="e">
        <f t="shared" si="4"/>
        <v>#REF!</v>
      </c>
      <c r="F59" s="11" t="e">
        <f>#REF!</f>
        <v>#REF!</v>
      </c>
      <c r="G59" s="11" t="e">
        <f>#REF!</f>
        <v>#REF!</v>
      </c>
      <c r="H59" s="11" t="e">
        <f>#REF!</f>
        <v>#REF!</v>
      </c>
      <c r="I59" s="11" t="e">
        <f>#REF!</f>
        <v>#REF!</v>
      </c>
      <c r="J59" s="16" t="e">
        <f>#REF!</f>
        <v>#REF!</v>
      </c>
      <c r="K59" s="16" t="e">
        <f>#REF!</f>
        <v>#REF!</v>
      </c>
      <c r="L59" s="16" t="e">
        <f>#REF!</f>
        <v>#REF!</v>
      </c>
      <c r="M59" s="16" t="e">
        <f>#REF!</f>
        <v>#REF!</v>
      </c>
      <c r="N59" s="18" t="e">
        <f>#REF!</f>
        <v>#REF!</v>
      </c>
      <c r="O59" s="16" t="e">
        <f>#REF!</f>
        <v>#REF!</v>
      </c>
      <c r="P59" s="11" t="e">
        <f>#REF!</f>
        <v>#REF!</v>
      </c>
      <c r="Q59" s="16" t="e">
        <f>#REF!</f>
        <v>#REF!</v>
      </c>
      <c r="R59" s="16" t="e">
        <f>#REF!</f>
        <v>#REF!</v>
      </c>
      <c r="S59" s="16" t="e">
        <f>#REF!</f>
        <v>#REF!</v>
      </c>
      <c r="T59" s="16" t="e">
        <f>#REF!</f>
        <v>#REF!</v>
      </c>
      <c r="U59" s="16" t="e">
        <f>#REF!</f>
        <v>#REF!</v>
      </c>
      <c r="V59" s="16" t="e">
        <f>#REF!</f>
        <v>#REF!</v>
      </c>
      <c r="W59" s="18" t="e">
        <f>#REF!</f>
        <v>#REF!</v>
      </c>
      <c r="X59" s="11" t="e">
        <f>#REF!</f>
        <v>#REF!</v>
      </c>
      <c r="Y59" s="11" t="e">
        <f>#REF!</f>
        <v>#REF!</v>
      </c>
      <c r="Z59" s="16" t="e">
        <f>#REF!</f>
        <v>#REF!</v>
      </c>
      <c r="AA59" s="11" t="e">
        <f>#REF!</f>
        <v>#REF!</v>
      </c>
      <c r="AB59" s="11" t="e">
        <f>#REF!</f>
        <v>#REF!</v>
      </c>
      <c r="AC59" s="11" t="e">
        <f>#REF!</f>
        <v>#REF!</v>
      </c>
      <c r="AD59" s="13"/>
      <c r="AE59" s="13"/>
      <c r="AF59" s="13"/>
      <c r="AG59" s="13"/>
      <c r="AH59" s="13"/>
    </row>
    <row r="60" spans="1:34" x14ac:dyDescent="0.2">
      <c r="A60" t="s">
        <v>32</v>
      </c>
      <c r="B60" s="6" t="e">
        <f>+#REF!</f>
        <v>#REF!</v>
      </c>
      <c r="C60" s="11" t="e">
        <f t="shared" si="3"/>
        <v>#REF!</v>
      </c>
      <c r="D60" s="16" t="e">
        <f t="shared" si="1"/>
        <v>#REF!</v>
      </c>
      <c r="E60" s="18" t="e">
        <f t="shared" si="4"/>
        <v>#REF!</v>
      </c>
      <c r="F60" s="11" t="e">
        <f>#REF!</f>
        <v>#REF!</v>
      </c>
      <c r="G60" s="11" t="e">
        <f>#REF!</f>
        <v>#REF!</v>
      </c>
      <c r="H60" s="11" t="e">
        <f>#REF!</f>
        <v>#REF!</v>
      </c>
      <c r="I60" s="11" t="e">
        <f>#REF!</f>
        <v>#REF!</v>
      </c>
      <c r="J60" s="16" t="e">
        <f>#REF!</f>
        <v>#REF!</v>
      </c>
      <c r="K60" s="16" t="e">
        <f>#REF!</f>
        <v>#REF!</v>
      </c>
      <c r="L60" s="16" t="e">
        <f>#REF!</f>
        <v>#REF!</v>
      </c>
      <c r="M60" s="16" t="e">
        <f>#REF!</f>
        <v>#REF!</v>
      </c>
      <c r="N60" s="18" t="e">
        <f>#REF!</f>
        <v>#REF!</v>
      </c>
      <c r="O60" s="16" t="e">
        <f>#REF!</f>
        <v>#REF!</v>
      </c>
      <c r="P60" s="11" t="e">
        <f>#REF!</f>
        <v>#REF!</v>
      </c>
      <c r="Q60" s="16" t="e">
        <f>#REF!</f>
        <v>#REF!</v>
      </c>
      <c r="R60" s="16" t="e">
        <f>#REF!</f>
        <v>#REF!</v>
      </c>
      <c r="S60" s="16" t="e">
        <f>#REF!</f>
        <v>#REF!</v>
      </c>
      <c r="T60" s="16" t="e">
        <f>#REF!</f>
        <v>#REF!</v>
      </c>
      <c r="U60" s="16" t="e">
        <f>#REF!</f>
        <v>#REF!</v>
      </c>
      <c r="V60" s="16" t="e">
        <f>#REF!</f>
        <v>#REF!</v>
      </c>
      <c r="W60" s="18" t="e">
        <f>#REF!</f>
        <v>#REF!</v>
      </c>
      <c r="X60" s="11" t="e">
        <f>#REF!</f>
        <v>#REF!</v>
      </c>
      <c r="Y60" s="11" t="e">
        <f>#REF!</f>
        <v>#REF!</v>
      </c>
      <c r="Z60" s="16" t="e">
        <f>#REF!</f>
        <v>#REF!</v>
      </c>
      <c r="AA60" s="11" t="e">
        <f>#REF!</f>
        <v>#REF!</v>
      </c>
      <c r="AB60" s="11" t="e">
        <f>#REF!</f>
        <v>#REF!</v>
      </c>
      <c r="AC60" s="11" t="e">
        <f>#REF!</f>
        <v>#REF!</v>
      </c>
      <c r="AD60" s="13"/>
      <c r="AE60" s="13"/>
      <c r="AF60" s="13"/>
      <c r="AG60" s="13"/>
      <c r="AH60" s="13"/>
    </row>
    <row r="61" spans="1:34" x14ac:dyDescent="0.2">
      <c r="A61" t="s">
        <v>33</v>
      </c>
      <c r="B61" s="6" t="e">
        <f>+#REF!</f>
        <v>#REF!</v>
      </c>
      <c r="C61" s="11" t="e">
        <f t="shared" si="3"/>
        <v>#REF!</v>
      </c>
      <c r="D61" s="16" t="e">
        <f t="shared" si="1"/>
        <v>#REF!</v>
      </c>
      <c r="E61" s="18" t="e">
        <f t="shared" si="4"/>
        <v>#REF!</v>
      </c>
      <c r="F61" s="11" t="e">
        <f>#REF!</f>
        <v>#REF!</v>
      </c>
      <c r="G61" s="11" t="e">
        <f>#REF!</f>
        <v>#REF!</v>
      </c>
      <c r="H61" s="11" t="e">
        <f>#REF!</f>
        <v>#REF!</v>
      </c>
      <c r="I61" s="11" t="e">
        <f>#REF!</f>
        <v>#REF!</v>
      </c>
      <c r="J61" s="16" t="e">
        <f>#REF!</f>
        <v>#REF!</v>
      </c>
      <c r="K61" s="16" t="e">
        <f>#REF!</f>
        <v>#REF!</v>
      </c>
      <c r="L61" s="16" t="e">
        <f>#REF!</f>
        <v>#REF!</v>
      </c>
      <c r="M61" s="16" t="e">
        <f>#REF!</f>
        <v>#REF!</v>
      </c>
      <c r="N61" s="18" t="e">
        <f>#REF!</f>
        <v>#REF!</v>
      </c>
      <c r="O61" s="16" t="e">
        <f>#REF!</f>
        <v>#REF!</v>
      </c>
      <c r="P61" s="11" t="e">
        <f>#REF!</f>
        <v>#REF!</v>
      </c>
      <c r="Q61" s="16" t="e">
        <f>#REF!</f>
        <v>#REF!</v>
      </c>
      <c r="R61" s="16" t="e">
        <f>#REF!</f>
        <v>#REF!</v>
      </c>
      <c r="S61" s="16" t="e">
        <f>#REF!</f>
        <v>#REF!</v>
      </c>
      <c r="T61" s="16" t="e">
        <f>#REF!</f>
        <v>#REF!</v>
      </c>
      <c r="U61" s="16" t="e">
        <f>#REF!</f>
        <v>#REF!</v>
      </c>
      <c r="V61" s="16" t="e">
        <f>#REF!</f>
        <v>#REF!</v>
      </c>
      <c r="W61" s="18" t="e">
        <f>#REF!</f>
        <v>#REF!</v>
      </c>
      <c r="X61" s="11" t="e">
        <f>#REF!</f>
        <v>#REF!</v>
      </c>
      <c r="Y61" s="11" t="e">
        <f>#REF!</f>
        <v>#REF!</v>
      </c>
      <c r="Z61" s="16" t="e">
        <f>#REF!</f>
        <v>#REF!</v>
      </c>
      <c r="AA61" s="11" t="e">
        <f>#REF!</f>
        <v>#REF!</v>
      </c>
      <c r="AB61" s="11" t="e">
        <f>#REF!</f>
        <v>#REF!</v>
      </c>
      <c r="AC61" s="11" t="e">
        <f>#REF!</f>
        <v>#REF!</v>
      </c>
      <c r="AD61" s="13"/>
      <c r="AE61" s="13"/>
      <c r="AF61" s="13"/>
      <c r="AG61" s="13"/>
      <c r="AH61" s="13"/>
    </row>
    <row r="62" spans="1:34" x14ac:dyDescent="0.2">
      <c r="A62" t="s">
        <v>34</v>
      </c>
      <c r="B62" s="6" t="e">
        <f>+#REF!</f>
        <v>#REF!</v>
      </c>
      <c r="C62" s="11" t="e">
        <f t="shared" si="3"/>
        <v>#REF!</v>
      </c>
      <c r="D62" s="16" t="e">
        <f t="shared" si="1"/>
        <v>#REF!</v>
      </c>
      <c r="E62" s="18" t="e">
        <f t="shared" si="4"/>
        <v>#REF!</v>
      </c>
      <c r="F62" s="11" t="e">
        <f>#REF!</f>
        <v>#REF!</v>
      </c>
      <c r="G62" s="11" t="e">
        <f>#REF!</f>
        <v>#REF!</v>
      </c>
      <c r="H62" s="11" t="e">
        <f>#REF!</f>
        <v>#REF!</v>
      </c>
      <c r="I62" s="11" t="e">
        <f>#REF!</f>
        <v>#REF!</v>
      </c>
      <c r="J62" s="16" t="e">
        <f>#REF!</f>
        <v>#REF!</v>
      </c>
      <c r="K62" s="16" t="e">
        <f>#REF!</f>
        <v>#REF!</v>
      </c>
      <c r="L62" s="16" t="e">
        <f>#REF!</f>
        <v>#REF!</v>
      </c>
      <c r="M62" s="16" t="e">
        <f>#REF!</f>
        <v>#REF!</v>
      </c>
      <c r="N62" s="18" t="e">
        <f>#REF!</f>
        <v>#REF!</v>
      </c>
      <c r="O62" s="16" t="e">
        <f>#REF!</f>
        <v>#REF!</v>
      </c>
      <c r="P62" s="11" t="e">
        <f>#REF!</f>
        <v>#REF!</v>
      </c>
      <c r="Q62" s="16" t="e">
        <f>#REF!</f>
        <v>#REF!</v>
      </c>
      <c r="R62" s="16" t="e">
        <f>#REF!</f>
        <v>#REF!</v>
      </c>
      <c r="S62" s="16" t="e">
        <f>#REF!</f>
        <v>#REF!</v>
      </c>
      <c r="T62" s="16" t="e">
        <f>#REF!</f>
        <v>#REF!</v>
      </c>
      <c r="U62" s="16" t="e">
        <f>#REF!</f>
        <v>#REF!</v>
      </c>
      <c r="V62" s="16" t="e">
        <f>#REF!</f>
        <v>#REF!</v>
      </c>
      <c r="W62" s="18" t="e">
        <f>#REF!</f>
        <v>#REF!</v>
      </c>
      <c r="X62" s="11" t="e">
        <f>#REF!</f>
        <v>#REF!</v>
      </c>
      <c r="Y62" s="11" t="e">
        <f>#REF!</f>
        <v>#REF!</v>
      </c>
      <c r="Z62" s="16" t="e">
        <f>#REF!</f>
        <v>#REF!</v>
      </c>
      <c r="AA62" s="11" t="e">
        <f>#REF!</f>
        <v>#REF!</v>
      </c>
      <c r="AB62" s="11" t="e">
        <f>#REF!</f>
        <v>#REF!</v>
      </c>
      <c r="AC62" s="11" t="e">
        <f>#REF!</f>
        <v>#REF!</v>
      </c>
      <c r="AD62" s="13"/>
      <c r="AE62" s="13"/>
      <c r="AF62" s="13"/>
      <c r="AG62" s="13"/>
      <c r="AH62" s="13"/>
    </row>
    <row r="63" spans="1:34" x14ac:dyDescent="0.2">
      <c r="A63" t="s">
        <v>35</v>
      </c>
      <c r="B63" s="6" t="e">
        <f>+#REF!</f>
        <v>#REF!</v>
      </c>
      <c r="C63" s="11" t="e">
        <f t="shared" si="3"/>
        <v>#REF!</v>
      </c>
      <c r="D63" s="16" t="e">
        <f t="shared" si="1"/>
        <v>#REF!</v>
      </c>
      <c r="E63" s="18" t="e">
        <f t="shared" si="4"/>
        <v>#REF!</v>
      </c>
      <c r="F63" s="11" t="e">
        <f>#REF!</f>
        <v>#REF!</v>
      </c>
      <c r="G63" s="11" t="e">
        <f>#REF!</f>
        <v>#REF!</v>
      </c>
      <c r="H63" s="11" t="e">
        <f>#REF!</f>
        <v>#REF!</v>
      </c>
      <c r="I63" s="11" t="e">
        <f>#REF!</f>
        <v>#REF!</v>
      </c>
      <c r="J63" s="16" t="e">
        <f>#REF!</f>
        <v>#REF!</v>
      </c>
      <c r="K63" s="16" t="e">
        <f>#REF!</f>
        <v>#REF!</v>
      </c>
      <c r="L63" s="16" t="e">
        <f>#REF!</f>
        <v>#REF!</v>
      </c>
      <c r="M63" s="16" t="e">
        <f>#REF!</f>
        <v>#REF!</v>
      </c>
      <c r="N63" s="18" t="e">
        <f>#REF!</f>
        <v>#REF!</v>
      </c>
      <c r="O63" s="16" t="e">
        <f>#REF!</f>
        <v>#REF!</v>
      </c>
      <c r="P63" s="11" t="e">
        <f>#REF!</f>
        <v>#REF!</v>
      </c>
      <c r="Q63" s="16" t="e">
        <f>#REF!</f>
        <v>#REF!</v>
      </c>
      <c r="R63" s="16" t="e">
        <f>#REF!</f>
        <v>#REF!</v>
      </c>
      <c r="S63" s="16" t="e">
        <f>#REF!</f>
        <v>#REF!</v>
      </c>
      <c r="T63" s="16" t="e">
        <f>#REF!</f>
        <v>#REF!</v>
      </c>
      <c r="U63" s="16" t="e">
        <f>#REF!</f>
        <v>#REF!</v>
      </c>
      <c r="V63" s="16" t="e">
        <f>#REF!</f>
        <v>#REF!</v>
      </c>
      <c r="W63" s="18" t="e">
        <f>#REF!</f>
        <v>#REF!</v>
      </c>
      <c r="X63" s="11" t="e">
        <f>#REF!</f>
        <v>#REF!</v>
      </c>
      <c r="Y63" s="11" t="e">
        <f>#REF!</f>
        <v>#REF!</v>
      </c>
      <c r="Z63" s="16" t="e">
        <f>#REF!</f>
        <v>#REF!</v>
      </c>
      <c r="AA63" s="11" t="e">
        <f>#REF!</f>
        <v>#REF!</v>
      </c>
      <c r="AB63" s="11" t="e">
        <f>#REF!</f>
        <v>#REF!</v>
      </c>
      <c r="AC63" s="11" t="e">
        <f>#REF!</f>
        <v>#REF!</v>
      </c>
      <c r="AD63" s="13"/>
      <c r="AE63" s="13"/>
      <c r="AF63" s="13"/>
      <c r="AG63" s="13"/>
      <c r="AH63" s="13"/>
    </row>
    <row r="64" spans="1:34" x14ac:dyDescent="0.2">
      <c r="A64" t="s">
        <v>36</v>
      </c>
      <c r="B64" s="6" t="e">
        <f>+#REF!</f>
        <v>#REF!</v>
      </c>
      <c r="C64" s="11" t="e">
        <f t="shared" si="3"/>
        <v>#REF!</v>
      </c>
      <c r="D64" s="16" t="e">
        <f t="shared" si="1"/>
        <v>#REF!</v>
      </c>
      <c r="E64" s="18" t="e">
        <f t="shared" si="4"/>
        <v>#REF!</v>
      </c>
      <c r="F64" s="11" t="e">
        <f>#REF!</f>
        <v>#REF!</v>
      </c>
      <c r="G64" s="11" t="e">
        <f>#REF!</f>
        <v>#REF!</v>
      </c>
      <c r="H64" s="11" t="e">
        <f>#REF!</f>
        <v>#REF!</v>
      </c>
      <c r="I64" s="11" t="e">
        <f>#REF!</f>
        <v>#REF!</v>
      </c>
      <c r="J64" s="16" t="e">
        <f>#REF!</f>
        <v>#REF!</v>
      </c>
      <c r="K64" s="16" t="e">
        <f>#REF!</f>
        <v>#REF!</v>
      </c>
      <c r="L64" s="16" t="e">
        <f>#REF!</f>
        <v>#REF!</v>
      </c>
      <c r="M64" s="16" t="e">
        <f>#REF!</f>
        <v>#REF!</v>
      </c>
      <c r="N64" s="18" t="e">
        <f>#REF!</f>
        <v>#REF!</v>
      </c>
      <c r="O64" s="16" t="e">
        <f>#REF!</f>
        <v>#REF!</v>
      </c>
      <c r="P64" s="11" t="e">
        <f>#REF!</f>
        <v>#REF!</v>
      </c>
      <c r="Q64" s="16" t="e">
        <f>#REF!</f>
        <v>#REF!</v>
      </c>
      <c r="R64" s="16" t="e">
        <f>#REF!</f>
        <v>#REF!</v>
      </c>
      <c r="S64" s="16" t="e">
        <f>#REF!</f>
        <v>#REF!</v>
      </c>
      <c r="T64" s="16" t="e">
        <f>#REF!</f>
        <v>#REF!</v>
      </c>
      <c r="U64" s="16" t="e">
        <f>#REF!</f>
        <v>#REF!</v>
      </c>
      <c r="V64" s="16" t="e">
        <f>#REF!</f>
        <v>#REF!</v>
      </c>
      <c r="W64" s="18" t="e">
        <f>#REF!</f>
        <v>#REF!</v>
      </c>
      <c r="X64" s="11" t="e">
        <f>#REF!</f>
        <v>#REF!</v>
      </c>
      <c r="Y64" s="11" t="e">
        <f>#REF!</f>
        <v>#REF!</v>
      </c>
      <c r="Z64" s="16" t="e">
        <f>#REF!</f>
        <v>#REF!</v>
      </c>
      <c r="AA64" s="11" t="e">
        <f>#REF!</f>
        <v>#REF!</v>
      </c>
      <c r="AB64" s="11" t="e">
        <f>#REF!</f>
        <v>#REF!</v>
      </c>
      <c r="AC64" s="11" t="e">
        <f>#REF!</f>
        <v>#REF!</v>
      </c>
      <c r="AD64" s="13"/>
      <c r="AE64" s="13"/>
      <c r="AF64" s="13"/>
      <c r="AG64" s="13"/>
      <c r="AH64" s="13"/>
    </row>
    <row r="65" spans="1:34" x14ac:dyDescent="0.2">
      <c r="A65" t="s">
        <v>37</v>
      </c>
      <c r="B65" s="6" t="e">
        <f>+#REF!</f>
        <v>#REF!</v>
      </c>
      <c r="C65" s="11" t="e">
        <f t="shared" si="3"/>
        <v>#REF!</v>
      </c>
      <c r="D65" s="16" t="e">
        <f t="shared" si="1"/>
        <v>#REF!</v>
      </c>
      <c r="E65" s="18" t="e">
        <f t="shared" si="4"/>
        <v>#REF!</v>
      </c>
      <c r="F65" s="11" t="e">
        <f>#REF!</f>
        <v>#REF!</v>
      </c>
      <c r="G65" s="11" t="e">
        <f>#REF!</f>
        <v>#REF!</v>
      </c>
      <c r="H65" s="11" t="e">
        <f>#REF!</f>
        <v>#REF!</v>
      </c>
      <c r="I65" s="11" t="e">
        <f>#REF!</f>
        <v>#REF!</v>
      </c>
      <c r="J65" s="16" t="e">
        <f>#REF!</f>
        <v>#REF!</v>
      </c>
      <c r="K65" s="16" t="e">
        <f>#REF!</f>
        <v>#REF!</v>
      </c>
      <c r="L65" s="16" t="e">
        <f>#REF!</f>
        <v>#REF!</v>
      </c>
      <c r="M65" s="16" t="e">
        <f>#REF!</f>
        <v>#REF!</v>
      </c>
      <c r="N65" s="18" t="e">
        <f>#REF!</f>
        <v>#REF!</v>
      </c>
      <c r="O65" s="16" t="e">
        <f>#REF!</f>
        <v>#REF!</v>
      </c>
      <c r="P65" s="11" t="e">
        <f>#REF!</f>
        <v>#REF!</v>
      </c>
      <c r="Q65" s="16" t="e">
        <f>#REF!</f>
        <v>#REF!</v>
      </c>
      <c r="R65" s="16" t="e">
        <f>#REF!</f>
        <v>#REF!</v>
      </c>
      <c r="S65" s="16" t="e">
        <f>#REF!</f>
        <v>#REF!</v>
      </c>
      <c r="T65" s="16" t="e">
        <f>#REF!</f>
        <v>#REF!</v>
      </c>
      <c r="U65" s="16" t="e">
        <f>#REF!</f>
        <v>#REF!</v>
      </c>
      <c r="V65" s="16" t="e">
        <f>#REF!</f>
        <v>#REF!</v>
      </c>
      <c r="W65" s="18" t="e">
        <f>#REF!</f>
        <v>#REF!</v>
      </c>
      <c r="X65" s="11" t="e">
        <f>#REF!</f>
        <v>#REF!</v>
      </c>
      <c r="Y65" s="11" t="e">
        <f>#REF!</f>
        <v>#REF!</v>
      </c>
      <c r="Z65" s="16" t="e">
        <f>#REF!</f>
        <v>#REF!</v>
      </c>
      <c r="AA65" s="11" t="e">
        <f>#REF!</f>
        <v>#REF!</v>
      </c>
      <c r="AB65" s="11" t="e">
        <f>#REF!</f>
        <v>#REF!</v>
      </c>
      <c r="AC65" s="11" t="e">
        <f>#REF!</f>
        <v>#REF!</v>
      </c>
      <c r="AD65" s="13"/>
      <c r="AE65" s="13"/>
      <c r="AF65" s="13"/>
      <c r="AG65" s="13"/>
      <c r="AH65" s="13"/>
    </row>
    <row r="66" spans="1:34" x14ac:dyDescent="0.2">
      <c r="B66" s="6" t="e">
        <f>+#REF!</f>
        <v>#REF!</v>
      </c>
      <c r="C66" s="11" t="e">
        <f>+F66+G66+H66+I66+Q66+R66+S66+Z66+AA66+AB66+AD66+AE66+AF66</f>
        <v>#REF!</v>
      </c>
      <c r="D66" s="16" t="e">
        <f t="shared" si="1"/>
        <v>#REF!</v>
      </c>
      <c r="E66" s="18" t="e">
        <f>+O66+Y66</f>
        <v>#REF!</v>
      </c>
      <c r="F66" s="11" t="e">
        <f>#REF!</f>
        <v>#REF!</v>
      </c>
      <c r="G66" s="11" t="e">
        <f>#REF!</f>
        <v>#REF!</v>
      </c>
      <c r="H66" s="11" t="e">
        <f>#REF!</f>
        <v>#REF!</v>
      </c>
      <c r="I66" s="11" t="e">
        <f>#REF!</f>
        <v>#REF!</v>
      </c>
      <c r="J66" s="16" t="e">
        <f>#REF!</f>
        <v>#REF!</v>
      </c>
      <c r="K66" s="16" t="e">
        <f>#REF!</f>
        <v>#REF!</v>
      </c>
      <c r="L66" s="16" t="e">
        <f>#REF!</f>
        <v>#REF!</v>
      </c>
      <c r="M66" s="16" t="e">
        <f>#REF!</f>
        <v>#REF!</v>
      </c>
      <c r="N66" s="18" t="e">
        <f>#REF!</f>
        <v>#REF!</v>
      </c>
      <c r="O66" s="16" t="e">
        <f>#REF!</f>
        <v>#REF!</v>
      </c>
      <c r="P66" s="11" t="e">
        <f>#REF!</f>
        <v>#REF!</v>
      </c>
      <c r="Q66" s="16" t="e">
        <f>#REF!</f>
        <v>#REF!</v>
      </c>
      <c r="R66" s="16" t="e">
        <f>#REF!</f>
        <v>#REF!</v>
      </c>
      <c r="S66" s="16" t="e">
        <f>#REF!</f>
        <v>#REF!</v>
      </c>
      <c r="T66" s="16" t="e">
        <f>#REF!</f>
        <v>#REF!</v>
      </c>
      <c r="U66" s="16" t="e">
        <f>#REF!</f>
        <v>#REF!</v>
      </c>
      <c r="V66" s="16" t="e">
        <f>#REF!</f>
        <v>#REF!</v>
      </c>
      <c r="W66" s="18" t="e">
        <f>#REF!</f>
        <v>#REF!</v>
      </c>
      <c r="X66" s="11" t="e">
        <f>#REF!</f>
        <v>#REF!</v>
      </c>
      <c r="Y66" s="11" t="e">
        <f>#REF!</f>
        <v>#REF!</v>
      </c>
      <c r="Z66" s="16" t="e">
        <f>#REF!</f>
        <v>#REF!</v>
      </c>
      <c r="AA66" s="11" t="e">
        <f>#REF!</f>
        <v>#REF!</v>
      </c>
      <c r="AB66" s="11" t="e">
        <f>#REF!</f>
        <v>#REF!</v>
      </c>
      <c r="AC66" s="11" t="e">
        <f>#REF!</f>
        <v>#REF!</v>
      </c>
      <c r="AD66" s="13"/>
      <c r="AE66" s="13"/>
      <c r="AF66" s="13"/>
      <c r="AG66" s="13"/>
      <c r="AH66" s="13"/>
    </row>
    <row r="67" spans="1:34" x14ac:dyDescent="0.2">
      <c r="B67" s="6" t="e">
        <f>+#REF!</f>
        <v>#REF!</v>
      </c>
      <c r="C67" s="11" t="e">
        <f>SUM(C27:C66)</f>
        <v>#REF!</v>
      </c>
      <c r="D67" s="16" t="e">
        <f t="shared" si="1"/>
        <v>#REF!</v>
      </c>
      <c r="E67" s="18" t="e">
        <f>SUM(E27:E66)</f>
        <v>#REF!</v>
      </c>
      <c r="F67" s="11" t="e">
        <f>#REF!</f>
        <v>#REF!</v>
      </c>
      <c r="G67" s="11" t="e">
        <f>#REF!</f>
        <v>#REF!</v>
      </c>
      <c r="H67" s="11" t="e">
        <f>#REF!</f>
        <v>#REF!</v>
      </c>
      <c r="I67" s="11" t="e">
        <f>#REF!</f>
        <v>#REF!</v>
      </c>
      <c r="J67" s="16" t="e">
        <f>#REF!</f>
        <v>#REF!</v>
      </c>
      <c r="K67" s="16" t="e">
        <f>#REF!</f>
        <v>#REF!</v>
      </c>
      <c r="L67" s="16" t="e">
        <f>#REF!</f>
        <v>#REF!</v>
      </c>
      <c r="M67" s="16" t="e">
        <f>#REF!</f>
        <v>#REF!</v>
      </c>
      <c r="N67" s="18" t="e">
        <f>#REF!</f>
        <v>#REF!</v>
      </c>
      <c r="O67" s="16" t="e">
        <f>#REF!</f>
        <v>#REF!</v>
      </c>
      <c r="P67" s="11" t="e">
        <f>#REF!</f>
        <v>#REF!</v>
      </c>
      <c r="Q67" s="16" t="e">
        <f>#REF!</f>
        <v>#REF!</v>
      </c>
      <c r="R67" s="16" t="e">
        <f>#REF!</f>
        <v>#REF!</v>
      </c>
      <c r="S67" s="16" t="e">
        <f>#REF!</f>
        <v>#REF!</v>
      </c>
      <c r="T67" s="16" t="e">
        <f>#REF!</f>
        <v>#REF!</v>
      </c>
      <c r="U67" s="16" t="e">
        <f>#REF!</f>
        <v>#REF!</v>
      </c>
      <c r="V67" s="16" t="e">
        <f>#REF!</f>
        <v>#REF!</v>
      </c>
      <c r="W67" s="18" t="e">
        <f>#REF!</f>
        <v>#REF!</v>
      </c>
      <c r="X67" s="11" t="e">
        <f>#REF!</f>
        <v>#REF!</v>
      </c>
      <c r="Y67" s="11" t="e">
        <f>#REF!</f>
        <v>#REF!</v>
      </c>
      <c r="Z67" s="16" t="e">
        <f>#REF!</f>
        <v>#REF!</v>
      </c>
      <c r="AA67" s="11" t="e">
        <f>#REF!</f>
        <v>#REF!</v>
      </c>
      <c r="AB67" s="11" t="e">
        <f>#REF!</f>
        <v>#REF!</v>
      </c>
      <c r="AC67" s="11" t="e">
        <f>#REF!</f>
        <v>#REF!</v>
      </c>
      <c r="AD67" s="13"/>
      <c r="AE67" s="13"/>
      <c r="AF67" s="13"/>
      <c r="AG67" s="13"/>
      <c r="AH67" s="13"/>
    </row>
    <row r="68" spans="1:34" x14ac:dyDescent="0.2">
      <c r="B68" s="6"/>
      <c r="C68" s="11"/>
      <c r="D68" s="16"/>
      <c r="E68" s="18"/>
      <c r="F68" s="11"/>
      <c r="G68" s="11"/>
      <c r="H68" s="11"/>
      <c r="I68" s="11"/>
      <c r="J68" s="16"/>
      <c r="K68" s="16"/>
      <c r="L68" s="16"/>
      <c r="M68" s="16"/>
      <c r="N68" s="18"/>
      <c r="O68" s="16"/>
      <c r="P68" s="11"/>
      <c r="Q68" s="16"/>
      <c r="R68" s="16"/>
      <c r="S68" s="16"/>
      <c r="T68" s="16"/>
      <c r="U68" s="16"/>
      <c r="V68" s="16"/>
      <c r="W68" s="18"/>
      <c r="X68" s="11"/>
      <c r="Y68" s="11"/>
      <c r="Z68" s="16"/>
      <c r="AA68" s="11"/>
      <c r="AB68" s="11"/>
      <c r="AC68" s="11"/>
    </row>
    <row r="69" spans="1:34" x14ac:dyDescent="0.2">
      <c r="B69" s="6"/>
    </row>
    <row r="70" spans="1:34" x14ac:dyDescent="0.2">
      <c r="B70" s="6" t="e">
        <f>+#REF!</f>
        <v>#REF!</v>
      </c>
    </row>
  </sheetData>
  <pageMargins left="0.7" right="0.7" top="0.75" bottom="0.75" header="0.3" footer="0.3"/>
  <pageSetup scale="7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F1111-4682-4771-A2DE-E4047111D52D}">
  <sheetPr>
    <pageSetUpPr fitToPage="1"/>
  </sheetPr>
  <dimension ref="A2:O25"/>
  <sheetViews>
    <sheetView showGridLines="0" showOutlineSymbols="0" topLeftCell="B1" zoomScaleNormal="100" zoomScalePageLayoutView="110" workbookViewId="0">
      <selection activeCell="M22" sqref="M22"/>
    </sheetView>
  </sheetViews>
  <sheetFormatPr defaultColWidth="9" defaultRowHeight="19.899999999999999" customHeight="1" x14ac:dyDescent="0.2"/>
  <cols>
    <col min="1" max="1" width="9.42578125" style="179" customWidth="1"/>
    <col min="2" max="2" width="36" style="179" customWidth="1"/>
    <col min="3" max="3" width="13.7109375" style="179" customWidth="1"/>
    <col min="4" max="4" width="14.28515625" style="179" customWidth="1"/>
    <col min="5" max="5" width="18.28515625" style="179" customWidth="1"/>
    <col min="6" max="6" width="13.7109375" style="179" customWidth="1"/>
    <col min="7" max="7" width="15.42578125" style="179" customWidth="1"/>
    <col min="8" max="8" width="14.85546875" style="179" customWidth="1"/>
    <col min="9" max="9" width="14.140625" style="179" bestFit="1" customWidth="1"/>
    <col min="10" max="10" width="13.7109375" style="179" customWidth="1"/>
    <col min="11" max="11" width="14.140625" style="179" bestFit="1" customWidth="1"/>
    <col min="12" max="12" width="13.7109375" style="179" customWidth="1"/>
    <col min="13" max="13" width="13.5703125" style="179" bestFit="1" customWidth="1"/>
    <col min="14" max="14" width="6.5703125" style="179" hidden="1" customWidth="1"/>
    <col min="15" max="15" width="18.28515625" style="179" customWidth="1"/>
    <col min="16" max="16" width="15.140625" style="179" bestFit="1" customWidth="1"/>
    <col min="17" max="16384" width="9" style="179"/>
  </cols>
  <sheetData>
    <row r="2" spans="1:15" ht="19.899999999999999" customHeight="1" x14ac:dyDescent="0.2">
      <c r="B2" s="202" t="s">
        <v>65</v>
      </c>
    </row>
    <row r="3" spans="1:15" ht="19.899999999999999" customHeight="1" x14ac:dyDescent="0.2">
      <c r="B3" s="202" t="s">
        <v>288</v>
      </c>
      <c r="G3" s="181"/>
      <c r="J3" s="181"/>
    </row>
    <row r="4" spans="1:15" ht="12.2" customHeight="1" x14ac:dyDescent="0.2"/>
    <row r="5" spans="1:15" ht="12.2" customHeight="1" x14ac:dyDescent="0.2">
      <c r="A5" s="201"/>
      <c r="C5" s="192"/>
      <c r="D5" s="192"/>
      <c r="E5" s="192"/>
      <c r="F5" s="192"/>
      <c r="G5" s="192"/>
      <c r="H5" s="192"/>
      <c r="I5" s="192"/>
      <c r="J5" s="192"/>
      <c r="K5" s="192"/>
      <c r="L5" s="192"/>
      <c r="M5" s="192"/>
    </row>
    <row r="6" spans="1:15" ht="45" customHeight="1" thickBot="1" x14ac:dyDescent="0.25">
      <c r="A6" s="192"/>
      <c r="B6" s="76"/>
      <c r="C6" s="33" t="s">
        <v>74</v>
      </c>
      <c r="D6" s="33" t="s">
        <v>88</v>
      </c>
      <c r="E6" s="33" t="s">
        <v>76</v>
      </c>
      <c r="F6" s="33" t="s">
        <v>109</v>
      </c>
      <c r="G6" s="33" t="s">
        <v>77</v>
      </c>
      <c r="H6" s="33" t="s">
        <v>254</v>
      </c>
      <c r="I6" s="33" t="s">
        <v>90</v>
      </c>
      <c r="J6" s="33" t="s">
        <v>79</v>
      </c>
      <c r="K6" s="33" t="s">
        <v>110</v>
      </c>
      <c r="L6" s="33" t="s">
        <v>91</v>
      </c>
      <c r="M6" s="33" t="s">
        <v>47</v>
      </c>
      <c r="O6" s="180"/>
    </row>
    <row r="7" spans="1:15" ht="19.899999999999999" customHeight="1" x14ac:dyDescent="0.2">
      <c r="B7" s="81" t="s">
        <v>279</v>
      </c>
      <c r="C7" s="200"/>
      <c r="D7" s="200"/>
      <c r="E7" s="200"/>
      <c r="F7" s="200"/>
      <c r="G7" s="200"/>
      <c r="H7" s="200"/>
      <c r="I7" s="200"/>
      <c r="J7" s="200"/>
      <c r="K7" s="200"/>
      <c r="L7" s="200"/>
      <c r="M7" s="199"/>
    </row>
    <row r="8" spans="1:15" ht="19.899999999999999" customHeight="1" thickBot="1" x14ac:dyDescent="0.25">
      <c r="A8" s="192"/>
      <c r="B8" s="56" t="s">
        <v>112</v>
      </c>
      <c r="C8" s="242">
        <v>2150</v>
      </c>
      <c r="D8" s="242"/>
      <c r="E8" s="242"/>
      <c r="F8" s="242"/>
      <c r="G8" s="242">
        <v>315000</v>
      </c>
      <c r="H8" s="242">
        <v>120000</v>
      </c>
      <c r="I8" s="242">
        <v>80000</v>
      </c>
      <c r="J8" s="242"/>
      <c r="K8" s="242">
        <v>10500</v>
      </c>
      <c r="L8" s="242">
        <v>2500</v>
      </c>
      <c r="M8" s="243">
        <f>SUM(C8:L8)</f>
        <v>530150</v>
      </c>
      <c r="N8" s="196"/>
      <c r="O8" s="181"/>
    </row>
    <row r="9" spans="1:15" ht="19.899999999999999" customHeight="1" thickBot="1" x14ac:dyDescent="0.25">
      <c r="A9" s="192"/>
      <c r="B9" s="56" t="s">
        <v>126</v>
      </c>
      <c r="C9" s="244">
        <f t="shared" ref="C9:L9" si="0">SUM(C8:C8)</f>
        <v>2150</v>
      </c>
      <c r="D9" s="244">
        <f t="shared" si="0"/>
        <v>0</v>
      </c>
      <c r="E9" s="244">
        <f t="shared" si="0"/>
        <v>0</v>
      </c>
      <c r="F9" s="244">
        <f t="shared" si="0"/>
        <v>0</v>
      </c>
      <c r="G9" s="244">
        <f t="shared" si="0"/>
        <v>315000</v>
      </c>
      <c r="H9" s="244">
        <f t="shared" si="0"/>
        <v>120000</v>
      </c>
      <c r="I9" s="244">
        <f t="shared" si="0"/>
        <v>80000</v>
      </c>
      <c r="J9" s="244">
        <f t="shared" si="0"/>
        <v>0</v>
      </c>
      <c r="K9" s="244">
        <f t="shared" si="0"/>
        <v>10500</v>
      </c>
      <c r="L9" s="244">
        <f t="shared" si="0"/>
        <v>2500</v>
      </c>
      <c r="M9" s="245">
        <f>SUM(C9:L9)</f>
        <v>530150</v>
      </c>
    </row>
    <row r="10" spans="1:15" ht="11.25" customHeight="1" thickTop="1" x14ac:dyDescent="0.2">
      <c r="A10" s="192"/>
      <c r="B10" s="56"/>
      <c r="C10" s="180"/>
      <c r="D10" s="180"/>
      <c r="E10" s="180"/>
      <c r="F10" s="180"/>
      <c r="G10" s="180"/>
      <c r="H10" s="180"/>
      <c r="I10" s="180"/>
      <c r="J10" s="180"/>
      <c r="K10" s="180"/>
      <c r="L10" s="180"/>
      <c r="M10" s="191"/>
    </row>
    <row r="11" spans="1:15" ht="11.25" customHeight="1" thickBot="1" x14ac:dyDescent="0.25">
      <c r="B11" s="190"/>
      <c r="C11" s="189"/>
      <c r="D11" s="189"/>
      <c r="E11" s="189"/>
      <c r="F11" s="189"/>
      <c r="G11" s="189"/>
      <c r="H11" s="189"/>
      <c r="I11" s="189"/>
      <c r="J11" s="189"/>
      <c r="K11" s="189"/>
      <c r="L11" s="189"/>
      <c r="M11" s="188"/>
    </row>
    <row r="12" spans="1:15" ht="19.899999999999999" hidden="1" customHeight="1" x14ac:dyDescent="0.2">
      <c r="C12" s="187" t="e">
        <f>+#REF!/C8</f>
        <v>#REF!</v>
      </c>
      <c r="D12" s="187" t="e">
        <f>+#REF!/D8</f>
        <v>#REF!</v>
      </c>
      <c r="E12" s="187" t="e">
        <f>+#REF!/E8</f>
        <v>#REF!</v>
      </c>
      <c r="F12" s="187" t="e">
        <f>+#REF!/F8</f>
        <v>#REF!</v>
      </c>
      <c r="G12" s="187" t="e">
        <f>+#REF!/G8</f>
        <v>#REF!</v>
      </c>
      <c r="H12" s="187" t="e">
        <f>+#REF!/H8</f>
        <v>#REF!</v>
      </c>
      <c r="I12" s="186" t="e">
        <f>+#REF!/I8</f>
        <v>#REF!</v>
      </c>
      <c r="J12" s="185" t="e">
        <f>+#REF!/J8</f>
        <v>#REF!</v>
      </c>
      <c r="K12" s="185" t="e">
        <f>+#REF!/K8</f>
        <v>#REF!</v>
      </c>
      <c r="L12" s="185" t="e">
        <f>+#REF!/L8</f>
        <v>#REF!</v>
      </c>
    </row>
    <row r="13" spans="1:15" ht="19.899999999999999" hidden="1" customHeight="1" x14ac:dyDescent="0.2">
      <c r="C13" s="182" t="e">
        <f>(C8+#REF!)*0.135794</f>
        <v>#REF!</v>
      </c>
      <c r="D13" s="182" t="e">
        <f>(D8+#REF!)*0.135794</f>
        <v>#REF!</v>
      </c>
      <c r="E13" s="182" t="e">
        <f>(E8+#REF!)*0.135794</f>
        <v>#REF!</v>
      </c>
      <c r="F13" s="182" t="e">
        <f>(F8+#REF!)*0.135794</f>
        <v>#REF!</v>
      </c>
      <c r="G13" s="182" t="e">
        <f>(G8+#REF!)*0.135794</f>
        <v>#REF!</v>
      </c>
      <c r="H13" s="182" t="e">
        <f>(H8+#REF!)*0.135794</f>
        <v>#REF!</v>
      </c>
      <c r="I13" s="182" t="e">
        <f>(I8+#REF!)*0.135794</f>
        <v>#REF!</v>
      </c>
      <c r="J13" s="182" t="e">
        <f>(J8+#REF!)*0.135794</f>
        <v>#REF!</v>
      </c>
      <c r="K13" s="182"/>
      <c r="L13" s="182" t="e">
        <f>(L8+#REF!)*0.135794</f>
        <v>#REF!</v>
      </c>
      <c r="M13" s="180"/>
    </row>
    <row r="14" spans="1:15" ht="19.899999999999999" hidden="1" customHeight="1" x14ac:dyDescent="0.2">
      <c r="C14" s="180" t="e">
        <f>C13-#REF!</f>
        <v>#REF!</v>
      </c>
      <c r="D14" s="180" t="e">
        <f>D13-#REF!</f>
        <v>#REF!</v>
      </c>
      <c r="E14" s="180" t="e">
        <f>E13-#REF!</f>
        <v>#REF!</v>
      </c>
      <c r="F14" s="180" t="e">
        <f>F13-#REF!</f>
        <v>#REF!</v>
      </c>
      <c r="G14" s="180" t="e">
        <f>G13-#REF!</f>
        <v>#REF!</v>
      </c>
      <c r="H14" s="180" t="e">
        <f>H13-#REF!</f>
        <v>#REF!</v>
      </c>
      <c r="I14" s="180" t="e">
        <f>I13-#REF!</f>
        <v>#REF!</v>
      </c>
      <c r="J14" s="180" t="e">
        <f>J13-#REF!</f>
        <v>#REF!</v>
      </c>
      <c r="K14" s="180"/>
      <c r="L14" s="180" t="e">
        <f>L13-#REF!</f>
        <v>#REF!</v>
      </c>
      <c r="M14" s="182"/>
    </row>
    <row r="15" spans="1:15" ht="19.899999999999999" hidden="1" customHeight="1" x14ac:dyDescent="0.2">
      <c r="C15" s="180"/>
      <c r="D15" s="180"/>
      <c r="E15" s="180"/>
      <c r="F15" s="180"/>
      <c r="G15" s="180"/>
      <c r="H15" s="180"/>
      <c r="I15" s="180"/>
      <c r="J15" s="180"/>
      <c r="K15" s="180"/>
      <c r="L15" s="180"/>
      <c r="M15" s="184"/>
    </row>
    <row r="16" spans="1:15" ht="19.899999999999999" hidden="1" customHeight="1" x14ac:dyDescent="0.2">
      <c r="C16" s="183" t="e">
        <f>(C8+#REF!)*12.57/100</f>
        <v>#REF!</v>
      </c>
      <c r="D16" s="183" t="e">
        <f>(D8+#REF!)*12.57/100</f>
        <v>#REF!</v>
      </c>
      <c r="E16" s="183" t="e">
        <f>(E8+#REF!)*12.57/100</f>
        <v>#REF!</v>
      </c>
      <c r="F16" s="183" t="e">
        <f>(F8+#REF!)*12.57/100</f>
        <v>#REF!</v>
      </c>
      <c r="G16" s="183" t="e">
        <f>(G8+#REF!)*12.57/100</f>
        <v>#REF!</v>
      </c>
      <c r="H16" s="183" t="e">
        <f>(H8+#REF!)*12.57/100</f>
        <v>#REF!</v>
      </c>
      <c r="I16" s="183" t="e">
        <f>(I8+#REF!)*12.57/100</f>
        <v>#REF!</v>
      </c>
      <c r="J16" s="183" t="e">
        <f>(J8+#REF!)*12.57/100</f>
        <v>#REF!</v>
      </c>
      <c r="K16" s="183" t="e">
        <f>(K8+#REF!)*12.57/100</f>
        <v>#REF!</v>
      </c>
      <c r="L16" s="183" t="e">
        <f>(L8+#REF!)*12.57/100</f>
        <v>#REF!</v>
      </c>
    </row>
    <row r="17" spans="3:12" ht="19.899999999999999" hidden="1" customHeight="1" x14ac:dyDescent="0.2"/>
    <row r="18" spans="3:12" ht="19.899999999999999" hidden="1" customHeight="1" x14ac:dyDescent="0.2">
      <c r="C18" s="182" t="e">
        <f>C16-#REF!</f>
        <v>#REF!</v>
      </c>
      <c r="D18" s="182" t="e">
        <f>D16-#REF!</f>
        <v>#REF!</v>
      </c>
      <c r="E18" s="182" t="e">
        <f>E16-#REF!</f>
        <v>#REF!</v>
      </c>
      <c r="F18" s="182" t="e">
        <f>F16-#REF!</f>
        <v>#REF!</v>
      </c>
      <c r="G18" s="182" t="e">
        <f>G16-#REF!</f>
        <v>#REF!</v>
      </c>
      <c r="H18" s="182" t="e">
        <f>H16-#REF!</f>
        <v>#REF!</v>
      </c>
      <c r="I18" s="182" t="e">
        <f>I16-#REF!</f>
        <v>#REF!</v>
      </c>
      <c r="J18" s="182" t="e">
        <f>J16-#REF!</f>
        <v>#REF!</v>
      </c>
      <c r="K18" s="182" t="e">
        <f>K16-#REF!</f>
        <v>#REF!</v>
      </c>
      <c r="L18" s="182" t="e">
        <f>L16-#REF!</f>
        <v>#REF!</v>
      </c>
    </row>
    <row r="19" spans="3:12" ht="19.899999999999999" hidden="1" customHeight="1" x14ac:dyDescent="0.2"/>
    <row r="20" spans="3:12" ht="19.899999999999999" hidden="1" customHeight="1" x14ac:dyDescent="0.2">
      <c r="C20" s="181">
        <f>APLREV!C25</f>
        <v>19058082.84426279</v>
      </c>
      <c r="D20" s="181">
        <f>APLREV!D25</f>
        <v>23693973.419538788</v>
      </c>
      <c r="E20" s="181">
        <f>APLREV!E25</f>
        <v>2060341.9314787497</v>
      </c>
      <c r="G20" s="181">
        <f>APLREV!F25</f>
        <v>494083638.62170058</v>
      </c>
      <c r="H20" s="181">
        <f>APLREV!G25</f>
        <v>13193851.728108961</v>
      </c>
      <c r="I20" s="181">
        <f>APLREV!H25</f>
        <v>30354348.712780662</v>
      </c>
      <c r="J20" s="181">
        <f>APLREV!I25</f>
        <v>10297020.083926322</v>
      </c>
      <c r="L20" s="181">
        <f>APLREV!J25</f>
        <v>2086040</v>
      </c>
    </row>
    <row r="21" spans="3:12" ht="19.899999999999999" hidden="1" customHeight="1" x14ac:dyDescent="0.2">
      <c r="C21" s="181" t="e">
        <f>C20-#REF!</f>
        <v>#REF!</v>
      </c>
      <c r="D21" s="181" t="e">
        <f>D20-#REF!</f>
        <v>#REF!</v>
      </c>
      <c r="E21" s="181" t="e">
        <f>E20-#REF!</f>
        <v>#REF!</v>
      </c>
      <c r="F21" s="181" t="e">
        <f>F20-#REF!</f>
        <v>#REF!</v>
      </c>
      <c r="G21" s="181" t="e">
        <f>G20-#REF!</f>
        <v>#REF!</v>
      </c>
      <c r="H21" s="181" t="e">
        <f>H20-#REF!</f>
        <v>#REF!</v>
      </c>
      <c r="I21" s="181" t="e">
        <f>I20-#REF!</f>
        <v>#REF!</v>
      </c>
      <c r="J21" s="181" t="e">
        <f>J20-#REF!</f>
        <v>#REF!</v>
      </c>
      <c r="K21" s="181" t="e">
        <f>K20-#REF!</f>
        <v>#REF!</v>
      </c>
      <c r="L21" s="181" t="e">
        <f>L20-#REF!</f>
        <v>#REF!</v>
      </c>
    </row>
    <row r="22" spans="3:12" ht="19.899999999999999" hidden="1" customHeight="1" x14ac:dyDescent="0.2"/>
    <row r="23" spans="3:12" ht="19.899999999999999" customHeight="1" x14ac:dyDescent="0.2">
      <c r="F23" s="181"/>
    </row>
    <row r="24" spans="3:12" ht="19.899999999999999" customHeight="1" x14ac:dyDescent="0.2">
      <c r="F24" s="180"/>
      <c r="J24" s="181"/>
    </row>
    <row r="25" spans="3:12" ht="19.899999999999999" customHeight="1" x14ac:dyDescent="0.2">
      <c r="F25" s="180"/>
    </row>
  </sheetData>
  <printOptions horizontalCentered="1"/>
  <pageMargins left="0.45" right="0.45" top="1.25" bottom="0.75" header="0.3" footer="0.3"/>
  <pageSetup scale="64"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M43"/>
  <sheetViews>
    <sheetView showGridLines="0" showOutlineSymbols="0" topLeftCell="A9" zoomScale="90" zoomScaleNormal="90" workbookViewId="0">
      <selection activeCell="M22" sqref="M22"/>
    </sheetView>
  </sheetViews>
  <sheetFormatPr defaultColWidth="9.140625" defaultRowHeight="15" x14ac:dyDescent="0.25"/>
  <cols>
    <col min="1" max="1" width="37.7109375" style="31" customWidth="1"/>
    <col min="2" max="3" width="14.7109375" style="30" customWidth="1"/>
    <col min="4" max="4" width="9.140625" style="31"/>
    <col min="5" max="5" width="14.7109375" style="31" bestFit="1" customWidth="1"/>
    <col min="6" max="6" width="11.28515625" style="31" bestFit="1" customWidth="1"/>
    <col min="7" max="7" width="14.140625" style="31" bestFit="1" customWidth="1"/>
    <col min="8" max="16384" width="9.140625" style="31"/>
  </cols>
  <sheetData>
    <row r="2" spans="1:6" x14ac:dyDescent="0.25">
      <c r="A2" s="79" t="s">
        <v>127</v>
      </c>
      <c r="B2" s="29"/>
    </row>
    <row r="3" spans="1:6" x14ac:dyDescent="0.25">
      <c r="A3" s="79" t="s">
        <v>244</v>
      </c>
      <c r="B3" s="29"/>
    </row>
    <row r="4" spans="1:6" ht="39.75" customHeight="1" thickBot="1" x14ac:dyDescent="0.3">
      <c r="A4" s="32"/>
      <c r="B4" s="33">
        <v>2025</v>
      </c>
      <c r="C4" s="33" t="s">
        <v>241</v>
      </c>
      <c r="D4" s="30"/>
    </row>
    <row r="5" spans="1:6" ht="19.899999999999999" customHeight="1" thickBot="1" x14ac:dyDescent="0.3">
      <c r="A5" s="34" t="s">
        <v>112</v>
      </c>
      <c r="B5" s="35"/>
      <c r="C5" s="35"/>
    </row>
    <row r="6" spans="1:6" ht="19.899999999999999" customHeight="1" thickBot="1" x14ac:dyDescent="0.3">
      <c r="A6" s="36" t="s">
        <v>113</v>
      </c>
      <c r="B6" s="37">
        <f>ALLEXP!K8</f>
        <v>2879956.5138506056</v>
      </c>
      <c r="C6" s="37">
        <v>2264313</v>
      </c>
      <c r="F6" s="30"/>
    </row>
    <row r="7" spans="1:6" ht="19.899999999999999" customHeight="1" thickBot="1" x14ac:dyDescent="0.3">
      <c r="A7" s="38" t="s">
        <v>128</v>
      </c>
      <c r="B7" s="216">
        <f>ALLEXP!K9</f>
        <v>1323052.0224629682</v>
      </c>
      <c r="C7" s="216">
        <v>1047698</v>
      </c>
    </row>
    <row r="8" spans="1:6" ht="19.899999999999999" customHeight="1" thickBot="1" x14ac:dyDescent="0.3">
      <c r="A8" s="38"/>
      <c r="B8" s="216"/>
      <c r="C8" s="216"/>
      <c r="D8" s="30"/>
      <c r="E8" s="153"/>
    </row>
    <row r="9" spans="1:6" ht="19.899999999999999" customHeight="1" thickBot="1" x14ac:dyDescent="0.3">
      <c r="A9" s="38" t="s">
        <v>129</v>
      </c>
      <c r="B9" s="217">
        <f>SUM(B6:B7)</f>
        <v>4203008.5363135738</v>
      </c>
      <c r="C9" s="217">
        <f>SUM(C6:C7)</f>
        <v>3312011</v>
      </c>
      <c r="D9" s="39"/>
    </row>
    <row r="10" spans="1:6" ht="19.899999999999999" customHeight="1" thickBot="1" x14ac:dyDescent="0.3">
      <c r="A10" s="38" t="s">
        <v>130</v>
      </c>
      <c r="B10" s="218">
        <f>[7]CONSULTANT!$D$7+[7]CONSULTANT!$E$7+[7]CONSULTANT!$F$7+[7]CONSULTANT!$H$7</f>
        <v>0</v>
      </c>
      <c r="C10" s="216">
        <v>4000</v>
      </c>
    </row>
    <row r="11" spans="1:6" ht="19.899999999999999" customHeight="1" thickBot="1" x14ac:dyDescent="0.3">
      <c r="A11" s="38" t="s">
        <v>131</v>
      </c>
      <c r="B11" s="216">
        <f>[7]CONSULTANT!$D$10+[7]CONSULTANT!$D$11+[7]CONSULTANT!$F$15+[7]CONSULTANT!$H$15+[7]CONSULTANT!$D$17+[7]CONSULTANT!$D$18+[7]CONSULTANT!$D$19</f>
        <v>25000</v>
      </c>
      <c r="C11" s="216">
        <v>85000</v>
      </c>
    </row>
    <row r="12" spans="1:6" ht="19.899999999999999" customHeight="1" thickBot="1" x14ac:dyDescent="0.3">
      <c r="A12" s="38" t="s">
        <v>132</v>
      </c>
      <c r="B12" s="216">
        <f>[7]CONSULTANT!$D$8+[7]CONSULTANT!$E$8+[7]CONSULTANT!$F$8+[7]CONSULTANT!$H$8</f>
        <v>69000</v>
      </c>
      <c r="C12" s="216">
        <v>63500</v>
      </c>
    </row>
    <row r="13" spans="1:6" ht="19.899999999999999" customHeight="1" thickBot="1" x14ac:dyDescent="0.3">
      <c r="A13" s="38" t="s">
        <v>133</v>
      </c>
      <c r="B13" s="216">
        <f>[7]CONSULTANT!$D$27+[7]CONSULTANT!$E$27+[7]CONSULTANT!$D$26+[7]CONSULTANT!$D$25+[7]CONSULTANT!$D$24+[7]CONSULTANT!$D$22+[7]CONSULTANT!$D$21</f>
        <v>30000</v>
      </c>
      <c r="C13" s="216">
        <v>2000</v>
      </c>
    </row>
    <row r="14" spans="1:6" ht="19.899999999999999" customHeight="1" thickBot="1" x14ac:dyDescent="0.3">
      <c r="A14" s="38" t="s">
        <v>134</v>
      </c>
      <c r="B14" s="216">
        <f>[7]BUDGET!$C$16+[7]BUDGET!$D$16+[7]BUDGET!$E$16+[7]BUDGET!$G$16</f>
        <v>55500</v>
      </c>
      <c r="C14" s="216">
        <v>109900</v>
      </c>
    </row>
    <row r="15" spans="1:6" ht="19.899999999999999" customHeight="1" thickBot="1" x14ac:dyDescent="0.3">
      <c r="A15" s="38" t="s">
        <v>118</v>
      </c>
      <c r="B15" s="216">
        <f>[7]BUDGET!$C$17+[7]BUDGET!$D$17+[7]BUDGET!$E$17+[7]BUDGET!$G$17</f>
        <v>141965.55879614427</v>
      </c>
      <c r="C15" s="216">
        <v>120347</v>
      </c>
    </row>
    <row r="16" spans="1:6" ht="19.899999999999999" customHeight="1" thickBot="1" x14ac:dyDescent="0.3">
      <c r="A16" s="38" t="s">
        <v>135</v>
      </c>
      <c r="B16" s="216">
        <f>[7]OTHER!$D$9+[7]OTHER!$E$9+[7]OTHER!$F$9+[7]OTHER!$H$9</f>
        <v>8961</v>
      </c>
      <c r="C16" s="216">
        <v>8407</v>
      </c>
      <c r="D16" s="40"/>
    </row>
    <row r="17" spans="1:13" ht="19.899999999999999" customHeight="1" thickBot="1" x14ac:dyDescent="0.3">
      <c r="A17" s="38" t="s">
        <v>136</v>
      </c>
      <c r="B17" s="216">
        <f>[7]OTHER!$D$10+[7]OTHER!$E$10+[7]OTHER!$F$10+[7]OTHER!$H$10</f>
        <v>6000</v>
      </c>
      <c r="C17" s="216">
        <v>4500</v>
      </c>
      <c r="F17" s="72"/>
    </row>
    <row r="18" spans="1:13" ht="19.899999999999999" customHeight="1" thickBot="1" x14ac:dyDescent="0.3">
      <c r="A18" s="38" t="s">
        <v>137</v>
      </c>
      <c r="B18" s="216">
        <f>[7]OTHER!$D$16+[7]OTHER!$E$16+[7]OTHER!$F$16+[7]OTHER!$H$16</f>
        <v>5000</v>
      </c>
      <c r="C18" s="216">
        <v>4000</v>
      </c>
    </row>
    <row r="19" spans="1:13" ht="19.899999999999999" customHeight="1" thickBot="1" x14ac:dyDescent="0.3">
      <c r="A19" s="38" t="s">
        <v>138</v>
      </c>
      <c r="B19" s="216">
        <f>[7]OTHER!$D$17+[7]OTHER!$E$17+[7]OTHER!$F$17+[7]OTHER!$H$17+[7]OTHER!$M$22</f>
        <v>30800</v>
      </c>
      <c r="C19" s="216">
        <v>800</v>
      </c>
    </row>
    <row r="20" spans="1:13" ht="19.899999999999999" customHeight="1" thickBot="1" x14ac:dyDescent="0.3">
      <c r="A20" s="38" t="s">
        <v>139</v>
      </c>
      <c r="B20" s="216">
        <f>[7]OTHER!$D$18+[7]OTHER!$E$18+[7]OTHER!$F$18+[7]OTHER!$H$18</f>
        <v>2600</v>
      </c>
      <c r="C20" s="216">
        <v>1500</v>
      </c>
    </row>
    <row r="21" spans="1:13" ht="19.899999999999999" customHeight="1" thickBot="1" x14ac:dyDescent="0.3">
      <c r="A21" s="38" t="s">
        <v>140</v>
      </c>
      <c r="B21" s="216">
        <f>[7]OTHER!$D$19+[7]OTHER!$E$19+[7]OTHER!$F$19+[7]OTHER!$H$19</f>
        <v>13050</v>
      </c>
      <c r="C21" s="216">
        <v>1900</v>
      </c>
      <c r="E21" s="72"/>
      <c r="F21" s="39"/>
    </row>
    <row r="22" spans="1:13" ht="19.899999999999999" customHeight="1" thickBot="1" x14ac:dyDescent="0.3">
      <c r="A22" s="38" t="s">
        <v>141</v>
      </c>
      <c r="B22" s="216">
        <f>[7]OTHER!$D$11+[7]OTHER!$E$11+[7]OTHER!$F$11+[7]OTHER!$H$11</f>
        <v>8000</v>
      </c>
      <c r="C22" s="216">
        <v>7000</v>
      </c>
      <c r="G22" s="39"/>
    </row>
    <row r="23" spans="1:13" ht="19.899999999999999" customHeight="1" thickBot="1" x14ac:dyDescent="0.3">
      <c r="A23" s="38" t="s">
        <v>142</v>
      </c>
      <c r="B23" s="216">
        <f>[7]OTHER!$D$12+[7]OTHER!$E$12+[7]OTHER!$F$12+[7]OTHER!$H$12</f>
        <v>1150</v>
      </c>
      <c r="C23" s="216">
        <v>838</v>
      </c>
      <c r="F23" s="40"/>
    </row>
    <row r="24" spans="1:13" ht="29.45" customHeight="1" thickBot="1" x14ac:dyDescent="0.3">
      <c r="A24" s="38" t="s">
        <v>143</v>
      </c>
      <c r="B24" s="216">
        <f>[7]OTHER!$M$13</f>
        <v>300</v>
      </c>
      <c r="C24" s="216">
        <v>0</v>
      </c>
    </row>
    <row r="25" spans="1:13" ht="19.899999999999999" customHeight="1" thickBot="1" x14ac:dyDescent="0.3">
      <c r="A25" s="38" t="s">
        <v>144</v>
      </c>
      <c r="B25" s="216">
        <f>[7]OTHER!$D$14+[7]OTHER!$E$14+[7]OTHER!$F$14+[7]OTHER!$H$14</f>
        <v>152510</v>
      </c>
      <c r="C25" s="216">
        <v>81500</v>
      </c>
    </row>
    <row r="26" spans="1:13" ht="19.899999999999999" customHeight="1" thickBot="1" x14ac:dyDescent="0.3">
      <c r="A26" s="38" t="s">
        <v>145</v>
      </c>
      <c r="B26" s="216">
        <f>[7]OTHER!$D$15+[7]OTHER!$E$15+[7]OTHER!$F$15+[7]OTHER!$H$15</f>
        <v>128500</v>
      </c>
      <c r="C26" s="216">
        <v>82000</v>
      </c>
      <c r="D26" s="40"/>
      <c r="E26" s="40"/>
      <c r="F26" s="40"/>
      <c r="G26" s="40"/>
      <c r="H26" s="40"/>
      <c r="I26" s="40"/>
      <c r="J26" s="40"/>
      <c r="K26" s="40"/>
      <c r="L26" s="40"/>
      <c r="M26" s="40"/>
    </row>
    <row r="27" spans="1:13" ht="19.899999999999999" customHeight="1" thickBot="1" x14ac:dyDescent="0.3">
      <c r="A27" s="38" t="s">
        <v>146</v>
      </c>
      <c r="B27" s="216">
        <f>[7]OTHER!$D$20+[7]OTHER!$E$20+[7]OTHER!$F$20+[7]OTHER!$H$20</f>
        <v>4150</v>
      </c>
      <c r="C27" s="216">
        <v>3500</v>
      </c>
    </row>
    <row r="28" spans="1:13" ht="19.899999999999999" customHeight="1" thickBot="1" x14ac:dyDescent="0.3">
      <c r="A28" s="38" t="s">
        <v>284</v>
      </c>
      <c r="B28" s="216">
        <f>[7]OTHER!$M$26</f>
        <v>0</v>
      </c>
      <c r="C28" s="216"/>
    </row>
    <row r="29" spans="1:13" ht="19.899999999999999" customHeight="1" thickBot="1" x14ac:dyDescent="0.3">
      <c r="A29" s="38" t="s">
        <v>262</v>
      </c>
      <c r="B29" s="216">
        <f>[7]OTHER!$M$27</f>
        <v>0</v>
      </c>
      <c r="C29" s="216"/>
    </row>
    <row r="30" spans="1:13" ht="19.899999999999999" customHeight="1" thickBot="1" x14ac:dyDescent="0.3">
      <c r="A30" s="38" t="s">
        <v>285</v>
      </c>
      <c r="B30" s="216">
        <f>[7]OTHER!$M$28</f>
        <v>0</v>
      </c>
      <c r="C30" s="216"/>
    </row>
    <row r="31" spans="1:13" ht="19.899999999999999" customHeight="1" thickBot="1" x14ac:dyDescent="0.3">
      <c r="A31" s="38" t="s">
        <v>180</v>
      </c>
      <c r="B31" s="216">
        <f>[7]OTHER!$M$23</f>
        <v>0</v>
      </c>
      <c r="C31" s="216"/>
    </row>
    <row r="32" spans="1:13" ht="19.899999999999999" customHeight="1" thickBot="1" x14ac:dyDescent="0.3">
      <c r="A32" s="38" t="s">
        <v>147</v>
      </c>
      <c r="B32" s="216">
        <f>[7]OTHER!$D$21+[7]OTHER!$E$21+[7]OTHER!$F$21+[7]OTHER!$H$21</f>
        <v>138615</v>
      </c>
      <c r="C32" s="216">
        <v>168340</v>
      </c>
      <c r="G32" s="39"/>
    </row>
    <row r="33" spans="1:7" ht="19.899999999999999" customHeight="1" thickBot="1" x14ac:dyDescent="0.3">
      <c r="A33" s="38" t="s">
        <v>120</v>
      </c>
      <c r="B33" s="216">
        <f>[7]BUDGET!$C$18+[7]BUDGET!$D$18+[7]BUDGET!$E$18+[7]BUDGET!$G$18</f>
        <v>30500</v>
      </c>
      <c r="C33" s="216">
        <v>23500</v>
      </c>
    </row>
    <row r="34" spans="1:7" ht="19.899999999999999" customHeight="1" thickBot="1" x14ac:dyDescent="0.3">
      <c r="A34" s="38" t="s">
        <v>148</v>
      </c>
      <c r="B34" s="216">
        <f>[7]OTHER!$D$24+[7]OTHER!$E$24</f>
        <v>27550</v>
      </c>
      <c r="C34" s="216">
        <v>122192</v>
      </c>
    </row>
    <row r="35" spans="1:7" ht="19.899999999999999" customHeight="1" thickBot="1" x14ac:dyDescent="0.3">
      <c r="A35" s="38" t="s">
        <v>149</v>
      </c>
      <c r="B35" s="216">
        <f>[7]OTHER!$D$29+[7]OTHER!$E$29+[7]OTHER!$F$29+[7]OTHER!$H$29</f>
        <v>620000</v>
      </c>
      <c r="C35" s="216">
        <v>620000</v>
      </c>
      <c r="D35" s="40"/>
    </row>
    <row r="36" spans="1:7" ht="19.899999999999999" customHeight="1" thickBot="1" x14ac:dyDescent="0.3">
      <c r="A36" s="38" t="s">
        <v>181</v>
      </c>
      <c r="B36" s="246">
        <v>0</v>
      </c>
      <c r="C36" s="246"/>
      <c r="D36" s="30"/>
    </row>
    <row r="37" spans="1:7" ht="19.899999999999999" customHeight="1" thickBot="1" x14ac:dyDescent="0.3">
      <c r="A37" s="38" t="s">
        <v>150</v>
      </c>
      <c r="B37" s="41">
        <f>SUM(B9:B36)</f>
        <v>5702160.0951097179</v>
      </c>
      <c r="C37" s="41">
        <f>SUM(C9:C35)</f>
        <v>4826735</v>
      </c>
      <c r="F37" s="39"/>
      <c r="G37" s="153"/>
    </row>
    <row r="38" spans="1:7" ht="19.899999999999999" customHeight="1" thickBot="1" x14ac:dyDescent="0.3">
      <c r="A38" s="38"/>
      <c r="B38" s="43"/>
      <c r="C38" s="43"/>
      <c r="F38" s="30"/>
    </row>
    <row r="39" spans="1:7" ht="19.899999999999999" customHeight="1" thickBot="1" x14ac:dyDescent="0.3">
      <c r="A39" s="38" t="s">
        <v>151</v>
      </c>
      <c r="B39" s="43"/>
      <c r="C39" s="43"/>
    </row>
    <row r="40" spans="1:7" ht="19.899999999999999" customHeight="1" thickBot="1" x14ac:dyDescent="0.3">
      <c r="A40" s="38" t="s">
        <v>152</v>
      </c>
      <c r="B40" s="43">
        <f>Alloc!C6</f>
        <v>46871861.915744834</v>
      </c>
      <c r="C40" s="43">
        <v>35951202</v>
      </c>
      <c r="D40" s="39"/>
      <c r="E40" s="39"/>
    </row>
    <row r="41" spans="1:7" ht="19.899999999999999" customHeight="1" thickBot="1" x14ac:dyDescent="0.3">
      <c r="A41" s="38"/>
      <c r="B41" s="42"/>
      <c r="C41" s="42"/>
      <c r="E41" s="153"/>
    </row>
    <row r="42" spans="1:7" ht="19.899999999999999" customHeight="1" thickBot="1" x14ac:dyDescent="0.3">
      <c r="A42" s="44" t="s">
        <v>153</v>
      </c>
      <c r="B42" s="45">
        <f>B37/B40</f>
        <v>0.12165422626819722</v>
      </c>
      <c r="C42" s="45">
        <f>C37/C40</f>
        <v>0.1342579588854915</v>
      </c>
    </row>
    <row r="43" spans="1:7" ht="11.25" customHeight="1" thickTop="1" thickBot="1" x14ac:dyDescent="0.3">
      <c r="A43" s="46"/>
      <c r="B43" s="47"/>
      <c r="C43" s="48"/>
    </row>
  </sheetData>
  <customSheetViews>
    <customSheetView guid="{8970DFA1-A026-4639-BD60-39EC20285CCC}" showRuler="0" topLeftCell="A8">
      <selection activeCell="C34" sqref="C34"/>
    </customSheetView>
    <customSheetView guid="{AADB8EA3-75F0-4468-B5D5-C7110D6EC38B}" fitToPage="1" showRuler="0" topLeftCell="A8">
      <selection activeCell="C34" sqref="C34"/>
      <pageMargins left="0" right="0" top="0" bottom="0" header="0" footer="0"/>
      <pageSetup orientation="portrait" r:id="rId1"/>
      <headerFooter alignWithMargins="0"/>
    </customSheetView>
    <customSheetView guid="{1D9F4367-0C2F-46F1-9E55-939D20D76F5B}" fitToPage="1" showRuler="0" topLeftCell="A8">
      <selection activeCell="C34" sqref="C34"/>
      <pageMargins left="0" right="0" top="0" bottom="0" header="0" footer="0"/>
      <pageSetup orientation="portrait" r:id="rId2"/>
      <headerFooter alignWithMargins="0"/>
    </customSheetView>
    <customSheetView guid="{921A7AC6-7D1A-435F-A825-B8B8C1A90F20}" fitToPage="1" showRuler="0" topLeftCell="A8">
      <selection activeCell="C34" sqref="C34"/>
      <pageMargins left="0" right="0" top="0" bottom="0" header="0" footer="0"/>
      <pageSetup orientation="portrait" r:id="rId3"/>
      <headerFooter alignWithMargins="0"/>
    </customSheetView>
    <customSheetView guid="{ED9CD846-0F6B-4BF7-A940-412E425E8FCE}" fitToPage="1" showRuler="0" topLeftCell="A8">
      <selection activeCell="C34" sqref="C34"/>
      <pageMargins left="0" right="0" top="0" bottom="0" header="0" footer="0"/>
      <pageSetup orientation="portrait" r:id="rId4"/>
      <headerFooter alignWithMargins="0"/>
    </customSheetView>
    <customSheetView guid="{497CB486-623F-41B0-B370-EF2A82E78B1D}" fitToPage="1" showRuler="0" topLeftCell="A8">
      <selection activeCell="C34" sqref="C34"/>
      <pageMargins left="0" right="0" top="0" bottom="0" header="0" footer="0"/>
      <pageSetup orientation="portrait" r:id="rId5"/>
      <headerFooter alignWithMargins="0"/>
    </customSheetView>
    <customSheetView guid="{20CF2976-B2A7-4F04-88DC-0AB25CA8A6C6}" fitToPage="1" showRuler="0" topLeftCell="A8">
      <selection activeCell="C34" sqref="C34"/>
      <pageMargins left="0" right="0" top="0" bottom="0" header="0" footer="0"/>
      <pageSetup orientation="portrait" r:id="rId6"/>
      <headerFooter alignWithMargins="0"/>
    </customSheetView>
    <customSheetView guid="{CB724201-FBEC-4626-9DD9-AEC98BB80DB0}" fitToPage="1" showRuler="0" topLeftCell="A8">
      <selection activeCell="C34" sqref="C34"/>
      <pageMargins left="0" right="0" top="0" bottom="0" header="0" footer="0"/>
      <pageSetup orientation="portrait" r:id="rId7"/>
      <headerFooter alignWithMargins="0"/>
    </customSheetView>
  </customSheetViews>
  <phoneticPr fontId="0" type="noConversion"/>
  <printOptions horizontalCentered="1"/>
  <pageMargins left="0.7" right="0.7" top="0.75" bottom="0.75" header="0.3" footer="0.3"/>
  <pageSetup scale="83" orientation="portrait" r:id="rId8"/>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M39"/>
  <sheetViews>
    <sheetView showGridLines="0" showOutlineSymbols="0" topLeftCell="A12" zoomScaleNormal="100" workbookViewId="0">
      <selection activeCell="M22" sqref="M22"/>
    </sheetView>
  </sheetViews>
  <sheetFormatPr defaultColWidth="9.140625" defaultRowHeight="15" x14ac:dyDescent="0.25"/>
  <cols>
    <col min="1" max="1" width="2.42578125" style="31" customWidth="1"/>
    <col min="2" max="2" width="44.140625" style="31" customWidth="1"/>
    <col min="3" max="3" width="16.85546875" style="31" customWidth="1"/>
    <col min="4" max="4" width="16.5703125" style="31" customWidth="1"/>
    <col min="5" max="6" width="9.140625" style="31"/>
    <col min="7" max="7" width="15.140625" style="31" bestFit="1" customWidth="1"/>
    <col min="8" max="8" width="11.42578125" style="31" bestFit="1" customWidth="1"/>
    <col min="9" max="16384" width="9.140625" style="31"/>
  </cols>
  <sheetData>
    <row r="2" spans="2:4" x14ac:dyDescent="0.25">
      <c r="B2" s="79" t="s">
        <v>65</v>
      </c>
    </row>
    <row r="3" spans="2:4" x14ac:dyDescent="0.25">
      <c r="B3" s="79" t="s">
        <v>154</v>
      </c>
    </row>
    <row r="4" spans="2:4" x14ac:dyDescent="0.25">
      <c r="B4" s="79" t="s">
        <v>244</v>
      </c>
    </row>
    <row r="5" spans="2:4" ht="6" customHeight="1" x14ac:dyDescent="0.25"/>
    <row r="6" spans="2:4" ht="6" customHeight="1" x14ac:dyDescent="0.25">
      <c r="C6" s="51"/>
      <c r="D6" s="51"/>
    </row>
    <row r="7" spans="2:4" ht="41.45" customHeight="1" x14ac:dyDescent="0.25">
      <c r="B7" s="51"/>
      <c r="C7" s="33">
        <v>2025</v>
      </c>
      <c r="D7" s="33" t="s">
        <v>241</v>
      </c>
    </row>
    <row r="8" spans="2:4" x14ac:dyDescent="0.25">
      <c r="B8" s="102" t="s">
        <v>155</v>
      </c>
      <c r="C8" s="103"/>
      <c r="D8" s="104"/>
    </row>
    <row r="9" spans="2:4" x14ac:dyDescent="0.25">
      <c r="B9" s="105" t="s">
        <v>156</v>
      </c>
      <c r="C9" s="39">
        <f>'[9]2025 Personnel'!$U$468</f>
        <v>1946986.6992043338</v>
      </c>
      <c r="D9" s="106">
        <v>1556285.9537701332</v>
      </c>
    </row>
    <row r="10" spans="2:4" x14ac:dyDescent="0.25">
      <c r="B10" s="105" t="s">
        <v>157</v>
      </c>
      <c r="C10" s="72">
        <f>'[9]2025 Personnel'!$V$468</f>
        <v>856790.30764990696</v>
      </c>
      <c r="D10" s="138">
        <v>684765.81965885847</v>
      </c>
    </row>
    <row r="11" spans="2:4" x14ac:dyDescent="0.25">
      <c r="B11" s="105" t="s">
        <v>158</v>
      </c>
      <c r="C11" s="72">
        <f>'[9]2025 Personnel'!$W$468</f>
        <v>2141975.7691247659</v>
      </c>
      <c r="D11" s="138">
        <v>1711914.5491471465</v>
      </c>
    </row>
    <row r="12" spans="2:4" x14ac:dyDescent="0.25">
      <c r="B12" s="105" t="s">
        <v>159</v>
      </c>
      <c r="C12" s="203">
        <f>'[9]2025 Personnel'!$X$468</f>
        <v>85679.03076499085</v>
      </c>
      <c r="D12" s="204">
        <v>68476.581965885867</v>
      </c>
    </row>
    <row r="13" spans="2:4" x14ac:dyDescent="0.25">
      <c r="B13" s="105"/>
      <c r="C13" s="30"/>
      <c r="D13" s="107"/>
    </row>
    <row r="14" spans="2:4" x14ac:dyDescent="0.25">
      <c r="B14" s="105" t="s">
        <v>160</v>
      </c>
      <c r="C14" s="108">
        <f>SUM(C9:C13)</f>
        <v>5031431.8067439971</v>
      </c>
      <c r="D14" s="109">
        <f>SUM(D9:D13)</f>
        <v>4021442.9045420242</v>
      </c>
    </row>
    <row r="15" spans="2:4" x14ac:dyDescent="0.25">
      <c r="B15" s="110" t="s">
        <v>161</v>
      </c>
      <c r="C15" s="111">
        <f>+C14/C36</f>
        <v>0.14376740930359314</v>
      </c>
      <c r="D15" s="112">
        <f>+D14/D36</f>
        <v>0.14836931557188782</v>
      </c>
    </row>
    <row r="16" spans="2:4" x14ac:dyDescent="0.25">
      <c r="B16" s="76"/>
      <c r="C16" s="30"/>
      <c r="D16" s="30"/>
    </row>
    <row r="17" spans="2:13" x14ac:dyDescent="0.25">
      <c r="B17" s="102" t="s">
        <v>162</v>
      </c>
      <c r="C17" s="113"/>
      <c r="D17" s="114"/>
    </row>
    <row r="18" spans="2:13" x14ac:dyDescent="0.25">
      <c r="B18" s="105" t="s">
        <v>163</v>
      </c>
      <c r="C18" s="39">
        <f>'[9]2025 Personnel'!$S$468+'[9]2025 Personnel'!$T$468+'[9]2025 Personnel'!$Y$468</f>
        <v>3404850.1767849368</v>
      </c>
      <c r="D18" s="106">
        <v>2360773.6902551111</v>
      </c>
    </row>
    <row r="19" spans="2:13" x14ac:dyDescent="0.25">
      <c r="B19" s="105" t="s">
        <v>164</v>
      </c>
      <c r="C19" s="72">
        <f>'[9]2025 Personnel'!$K$468+'[9]2025 Personnel'!$L$468+'[9]2025 Personnel'!$M$468+'[9]2025 Personnel'!$N$468+'[9]2025 Personnel'!$O$468</f>
        <v>4797395.4599999888</v>
      </c>
      <c r="D19" s="138">
        <v>4247532.0000000196</v>
      </c>
    </row>
    <row r="20" spans="2:13" x14ac:dyDescent="0.25">
      <c r="B20" s="105" t="s">
        <v>165</v>
      </c>
      <c r="C20" s="72">
        <f>'[9]2025 Personnel'!$R$468</f>
        <v>2782039.2461740668</v>
      </c>
      <c r="D20" s="138">
        <v>2178800.3352781874</v>
      </c>
    </row>
    <row r="21" spans="2:13" x14ac:dyDescent="0.25">
      <c r="B21" s="105" t="s">
        <v>166</v>
      </c>
      <c r="C21" s="72">
        <f>'[9]2025 Personnel'!$P$468</f>
        <v>38610</v>
      </c>
      <c r="D21" s="138">
        <v>36180</v>
      </c>
    </row>
    <row r="22" spans="2:13" x14ac:dyDescent="0.25">
      <c r="B22" s="105" t="s">
        <v>167</v>
      </c>
      <c r="C22" s="203">
        <f>'[9]2025 Personnel'!$Q$468</f>
        <v>22801.350000000097</v>
      </c>
      <c r="D22" s="204">
        <v>21366.300000000057</v>
      </c>
    </row>
    <row r="23" spans="2:13" x14ac:dyDescent="0.25">
      <c r="B23" s="105"/>
      <c r="C23" s="30"/>
      <c r="D23" s="107"/>
      <c r="F23" s="39"/>
    </row>
    <row r="24" spans="2:13" x14ac:dyDescent="0.25">
      <c r="B24" s="105" t="s">
        <v>168</v>
      </c>
      <c r="C24" s="108">
        <f>SUM(C18:C23)</f>
        <v>11045696.232958993</v>
      </c>
      <c r="D24" s="109">
        <f>SUM(D18:D23)</f>
        <v>8844652.3255333193</v>
      </c>
    </row>
    <row r="25" spans="2:13" x14ac:dyDescent="0.25">
      <c r="B25" s="110" t="s">
        <v>169</v>
      </c>
      <c r="C25" s="111">
        <f>+C24/C36</f>
        <v>0.31561813661837662</v>
      </c>
      <c r="D25" s="112">
        <f>+D24/D36</f>
        <v>0.32631944383159928</v>
      </c>
    </row>
    <row r="26" spans="2:13" x14ac:dyDescent="0.25">
      <c r="B26" s="115"/>
      <c r="C26" s="116"/>
      <c r="D26" s="117"/>
    </row>
    <row r="27" spans="2:13" x14ac:dyDescent="0.25">
      <c r="B27" s="118" t="s">
        <v>170</v>
      </c>
      <c r="C27" s="119">
        <v>0</v>
      </c>
      <c r="D27" s="120">
        <v>0</v>
      </c>
      <c r="E27" s="40"/>
      <c r="F27" s="40"/>
      <c r="G27" s="40"/>
      <c r="H27" s="40"/>
      <c r="I27" s="40"/>
      <c r="J27" s="40"/>
      <c r="K27" s="40"/>
      <c r="L27" s="40"/>
      <c r="M27" s="40"/>
    </row>
    <row r="28" spans="2:13" ht="15.75" thickBot="1" x14ac:dyDescent="0.3">
      <c r="B28" s="121"/>
      <c r="C28" s="60"/>
      <c r="D28" s="122"/>
    </row>
    <row r="29" spans="2:13" ht="15.75" thickBot="1" x14ac:dyDescent="0.3">
      <c r="B29" s="121" t="s">
        <v>171</v>
      </c>
      <c r="C29" s="123">
        <f>+C27+C24+C14</f>
        <v>16077128.039702989</v>
      </c>
      <c r="D29" s="124">
        <f>+D27+D24+D14</f>
        <v>12866095.230075344</v>
      </c>
      <c r="E29" s="39"/>
      <c r="F29" s="39"/>
      <c r="H29" s="72"/>
      <c r="J29" s="39"/>
    </row>
    <row r="30" spans="2:13" ht="15.75" thickTop="1" x14ac:dyDescent="0.25">
      <c r="B30" s="121"/>
      <c r="C30" s="30"/>
      <c r="D30" s="107"/>
    </row>
    <row r="31" spans="2:13" x14ac:dyDescent="0.25">
      <c r="B31" s="121"/>
      <c r="C31" s="30"/>
      <c r="D31" s="107"/>
    </row>
    <row r="32" spans="2:13" x14ac:dyDescent="0.25">
      <c r="B32" s="125" t="s">
        <v>151</v>
      </c>
      <c r="C32" s="126"/>
      <c r="D32" s="127"/>
    </row>
    <row r="33" spans="2:6" x14ac:dyDescent="0.25">
      <c r="B33" s="121" t="s">
        <v>172</v>
      </c>
      <c r="C33" s="39">
        <f>'[9]2025 Personnel'!$E$471</f>
        <v>40028458.122486666</v>
      </c>
      <c r="D33" s="106">
        <v>31125719.075402685</v>
      </c>
    </row>
    <row r="34" spans="2:6" x14ac:dyDescent="0.25">
      <c r="B34" s="121" t="s">
        <v>173</v>
      </c>
      <c r="C34" s="72">
        <f>'[9]2025 Personnel'!$E$472</f>
        <v>5031431.8067439971</v>
      </c>
      <c r="D34" s="138">
        <v>4021442.9045420242</v>
      </c>
    </row>
    <row r="35" spans="2:6" ht="15.75" thickBot="1" x14ac:dyDescent="0.3">
      <c r="B35" s="121"/>
      <c r="C35" s="60"/>
      <c r="D35" s="122"/>
    </row>
    <row r="36" spans="2:6" ht="15.75" thickBot="1" x14ac:dyDescent="0.3">
      <c r="B36" s="121" t="s">
        <v>174</v>
      </c>
      <c r="C36" s="123">
        <f>+C33-C34</f>
        <v>34997026.315742671</v>
      </c>
      <c r="D36" s="124">
        <f>+D33-D34</f>
        <v>27104276.170860659</v>
      </c>
      <c r="E36" s="39"/>
      <c r="F36" s="39"/>
    </row>
    <row r="37" spans="2:6" ht="15.75" thickTop="1" x14ac:dyDescent="0.25">
      <c r="B37" s="121"/>
      <c r="D37" s="128"/>
    </row>
    <row r="38" spans="2:6" ht="15.75" thickBot="1" x14ac:dyDescent="0.3">
      <c r="B38" s="121" t="s">
        <v>175</v>
      </c>
      <c r="C38" s="129">
        <f>+C29/C36</f>
        <v>0.45938554592196978</v>
      </c>
      <c r="D38" s="130">
        <f>+D29/D36</f>
        <v>0.47468875940348709</v>
      </c>
    </row>
    <row r="39" spans="2:6" ht="15.75" thickTop="1" x14ac:dyDescent="0.25">
      <c r="B39" s="131"/>
      <c r="C39" s="132"/>
      <c r="D39" s="133"/>
    </row>
  </sheetData>
  <customSheetViews>
    <customSheetView guid="{8970DFA1-A026-4639-BD60-39EC20285CCC}" showRuler="0" topLeftCell="A7">
      <selection activeCell="C34" sqref="C34"/>
    </customSheetView>
    <customSheetView guid="{AADB8EA3-75F0-4468-B5D5-C7110D6EC38B}" showRuler="0" topLeftCell="A7">
      <selection activeCell="C34" sqref="C34"/>
      <pageMargins left="0" right="0" top="0" bottom="0" header="0" footer="0"/>
      <pageSetup orientation="portrait" r:id="rId1"/>
      <headerFooter alignWithMargins="0"/>
    </customSheetView>
    <customSheetView guid="{1D9F4367-0C2F-46F1-9E55-939D20D76F5B}" showRuler="0" topLeftCell="A7">
      <selection activeCell="C34" sqref="C34"/>
      <pageMargins left="0" right="0" top="0" bottom="0" header="0" footer="0"/>
      <pageSetup orientation="portrait" r:id="rId2"/>
      <headerFooter alignWithMargins="0"/>
    </customSheetView>
    <customSheetView guid="{921A7AC6-7D1A-435F-A825-B8B8C1A90F20}" showRuler="0" topLeftCell="A7">
      <selection activeCell="C34" sqref="C34"/>
      <pageMargins left="0" right="0" top="0" bottom="0" header="0" footer="0"/>
      <pageSetup orientation="portrait" r:id="rId3"/>
      <headerFooter alignWithMargins="0"/>
    </customSheetView>
    <customSheetView guid="{ED9CD846-0F6B-4BF7-A940-412E425E8FCE}" showRuler="0" topLeftCell="A7">
      <selection activeCell="C34" sqref="C34"/>
      <pageMargins left="0" right="0" top="0" bottom="0" header="0" footer="0"/>
      <pageSetup orientation="portrait" r:id="rId4"/>
      <headerFooter alignWithMargins="0"/>
    </customSheetView>
    <customSheetView guid="{497CB486-623F-41B0-B370-EF2A82E78B1D}" showRuler="0" topLeftCell="A7">
      <selection activeCell="C34" sqref="C34"/>
      <pageMargins left="0" right="0" top="0" bottom="0" header="0" footer="0"/>
      <pageSetup orientation="portrait" r:id="rId5"/>
      <headerFooter alignWithMargins="0"/>
    </customSheetView>
    <customSheetView guid="{20CF2976-B2A7-4F04-88DC-0AB25CA8A6C6}" showRuler="0" topLeftCell="A7">
      <selection activeCell="C34" sqref="C34"/>
      <pageMargins left="0" right="0" top="0" bottom="0" header="0" footer="0"/>
      <pageSetup orientation="portrait" r:id="rId6"/>
      <headerFooter alignWithMargins="0"/>
    </customSheetView>
    <customSheetView guid="{CB724201-FBEC-4626-9DD9-AEC98BB80DB0}" showRuler="0" topLeftCell="A7">
      <selection activeCell="C34" sqref="C34"/>
      <pageMargins left="0" right="0" top="0" bottom="0" header="0" footer="0"/>
      <pageSetup orientation="portrait" r:id="rId7"/>
      <headerFooter alignWithMargins="0"/>
    </customSheetView>
  </customSheetViews>
  <phoneticPr fontId="0" type="noConversion"/>
  <printOptions horizontalCentered="1"/>
  <pageMargins left="0.7" right="0.7" top="0.75" bottom="0.75" header="0.3" footer="0.3"/>
  <pageSetup orientation="portrait" r:id="rId8"/>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88"/>
  <sheetViews>
    <sheetView showOutlineSymbols="0" topLeftCell="B1" zoomScaleNormal="100" workbookViewId="0">
      <selection activeCell="M22" sqref="M22"/>
    </sheetView>
  </sheetViews>
  <sheetFormatPr defaultColWidth="9.140625" defaultRowHeight="15" x14ac:dyDescent="0.25"/>
  <cols>
    <col min="1" max="1" width="4.28515625" style="31" hidden="1" customWidth="1"/>
    <col min="2" max="2" width="34.28515625" style="31" customWidth="1"/>
    <col min="3" max="4" width="14.7109375" style="31" customWidth="1"/>
    <col min="5" max="6" width="9.140625" style="31"/>
    <col min="7" max="7" width="10.5703125" style="31" bestFit="1" customWidth="1"/>
    <col min="8" max="16384" width="9.140625" style="31"/>
  </cols>
  <sheetData>
    <row r="1" spans="1:8" ht="29.25" customHeight="1" x14ac:dyDescent="0.25"/>
    <row r="2" spans="1:8" x14ac:dyDescent="0.25">
      <c r="B2" s="79" t="s">
        <v>176</v>
      </c>
      <c r="C2" s="28"/>
      <c r="D2" s="28"/>
    </row>
    <row r="3" spans="1:8" x14ac:dyDescent="0.25">
      <c r="A3" s="31" t="s">
        <v>66</v>
      </c>
      <c r="B3" s="79" t="s">
        <v>244</v>
      </c>
      <c r="C3" s="28"/>
      <c r="D3" s="28"/>
    </row>
    <row r="4" spans="1:8" ht="33.75" customHeight="1" x14ac:dyDescent="0.25"/>
    <row r="5" spans="1:8" ht="11.25" customHeight="1" x14ac:dyDescent="0.25"/>
    <row r="6" spans="1:8" ht="35.450000000000003" customHeight="1" x14ac:dyDescent="0.25">
      <c r="A6" s="51"/>
      <c r="C6" s="33">
        <v>2025</v>
      </c>
      <c r="D6" s="33" t="s">
        <v>241</v>
      </c>
      <c r="E6" s="30"/>
    </row>
    <row r="7" spans="1:8" ht="19.899999999999999" customHeight="1" x14ac:dyDescent="0.25">
      <c r="A7" s="51"/>
      <c r="B7" s="134" t="s">
        <v>112</v>
      </c>
      <c r="C7" s="103"/>
      <c r="D7" s="104"/>
    </row>
    <row r="8" spans="1:8" ht="19.899999999999999" customHeight="1" x14ac:dyDescent="0.25">
      <c r="A8" s="49"/>
      <c r="B8" s="105" t="s">
        <v>177</v>
      </c>
      <c r="C8" s="39">
        <f>'[7]106 LOCALWORKSHOP BACKUP'!$C$8</f>
        <v>2500</v>
      </c>
      <c r="D8" s="106">
        <v>2500</v>
      </c>
      <c r="G8" s="30"/>
    </row>
    <row r="9" spans="1:8" ht="19.899999999999999" customHeight="1" x14ac:dyDescent="0.25">
      <c r="A9" s="49"/>
      <c r="B9" s="105" t="s">
        <v>178</v>
      </c>
      <c r="C9" s="72">
        <f>'[7]106 LOCALWORKSHOP BACKUP'!$C$11</f>
        <v>3500</v>
      </c>
      <c r="D9" s="138">
        <v>3500</v>
      </c>
      <c r="G9" s="30"/>
    </row>
    <row r="10" spans="1:8" ht="19.899999999999999" customHeight="1" x14ac:dyDescent="0.25">
      <c r="A10" s="49"/>
      <c r="B10" s="105" t="s">
        <v>179</v>
      </c>
      <c r="C10" s="72">
        <v>3000</v>
      </c>
      <c r="D10" s="138">
        <v>3000</v>
      </c>
    </row>
    <row r="11" spans="1:8" ht="19.899999999999999" customHeight="1" x14ac:dyDescent="0.25">
      <c r="A11" s="49"/>
      <c r="B11" s="105" t="s">
        <v>135</v>
      </c>
      <c r="C11" s="72">
        <v>200</v>
      </c>
      <c r="D11" s="138">
        <v>200</v>
      </c>
      <c r="E11" s="30"/>
      <c r="H11" s="40"/>
    </row>
    <row r="12" spans="1:8" ht="19.899999999999999" customHeight="1" x14ac:dyDescent="0.25">
      <c r="A12" s="49"/>
      <c r="B12" s="105" t="s">
        <v>136</v>
      </c>
      <c r="C12" s="72">
        <v>219000</v>
      </c>
      <c r="D12" s="138">
        <v>54000</v>
      </c>
    </row>
    <row r="13" spans="1:8" ht="19.899999999999999" customHeight="1" x14ac:dyDescent="0.25">
      <c r="A13" s="49"/>
      <c r="B13" s="105" t="s">
        <v>145</v>
      </c>
      <c r="C13" s="219">
        <v>20000</v>
      </c>
      <c r="D13" s="138">
        <v>12000</v>
      </c>
      <c r="H13" s="206"/>
    </row>
    <row r="14" spans="1:8" ht="19.899999999999999" customHeight="1" x14ac:dyDescent="0.25">
      <c r="A14" s="49"/>
      <c r="B14" s="105" t="s">
        <v>137</v>
      </c>
      <c r="C14" s="72">
        <f>'[7]106 LOCALWORKSHOP BACKUP'!$C$23</f>
        <v>10000</v>
      </c>
      <c r="D14" s="138">
        <v>0</v>
      </c>
    </row>
    <row r="15" spans="1:8" ht="19.899999999999999" customHeight="1" x14ac:dyDescent="0.25">
      <c r="A15" s="49"/>
      <c r="B15" s="105" t="s">
        <v>180</v>
      </c>
      <c r="C15" s="72">
        <f>'[7]106 LOCALWORKSHOP BACKUP'!$C$29</f>
        <v>150</v>
      </c>
      <c r="D15" s="138">
        <v>150</v>
      </c>
    </row>
    <row r="16" spans="1:8" ht="19.899999999999999" customHeight="1" x14ac:dyDescent="0.25">
      <c r="A16" s="49"/>
      <c r="B16" s="105" t="s">
        <v>148</v>
      </c>
      <c r="C16" s="72">
        <f>'[7]106 LOCALWORKSHOP BACKUP'!$C$30</f>
        <v>20000</v>
      </c>
      <c r="D16" s="138">
        <v>20000</v>
      </c>
    </row>
    <row r="17" spans="1:7" ht="19.899999999999999" customHeight="1" x14ac:dyDescent="0.25">
      <c r="A17" s="49"/>
      <c r="B17" s="105" t="s">
        <v>146</v>
      </c>
      <c r="C17" s="72">
        <f>'[7]106 LOCALWORKSHOP BACKUP'!$C$27-92</f>
        <v>1208</v>
      </c>
      <c r="D17" s="138">
        <v>1300</v>
      </c>
    </row>
    <row r="18" spans="1:7" ht="19.899999999999999" customHeight="1" x14ac:dyDescent="0.25">
      <c r="A18" s="49"/>
      <c r="B18" s="105" t="s">
        <v>248</v>
      </c>
      <c r="C18" s="72">
        <v>70750</v>
      </c>
      <c r="D18" s="138">
        <v>0</v>
      </c>
    </row>
    <row r="19" spans="1:7" ht="19.899999999999999" customHeight="1" thickBot="1" x14ac:dyDescent="0.3">
      <c r="A19" s="49"/>
      <c r="B19" s="105" t="s">
        <v>181</v>
      </c>
      <c r="C19" s="73">
        <f>'[7]106 LOCALWORKSHOP BACKUP'!$C$14</f>
        <v>0</v>
      </c>
      <c r="D19" s="139">
        <v>264280</v>
      </c>
      <c r="G19" s="39"/>
    </row>
    <row r="20" spans="1:7" ht="19.899999999999999" customHeight="1" x14ac:dyDescent="0.25">
      <c r="A20" s="49"/>
      <c r="B20" s="105"/>
      <c r="C20" s="30"/>
      <c r="D20" s="107"/>
    </row>
    <row r="21" spans="1:7" ht="19.899999999999999" customHeight="1" thickBot="1" x14ac:dyDescent="0.3">
      <c r="A21" s="49"/>
      <c r="B21" s="105" t="s">
        <v>182</v>
      </c>
      <c r="C21" s="123">
        <f>SUM(C8:C19)</f>
        <v>350308</v>
      </c>
      <c r="D21" s="124">
        <f>SUM(D8:D19)</f>
        <v>360930</v>
      </c>
    </row>
    <row r="22" spans="1:7" ht="15.75" thickTop="1" x14ac:dyDescent="0.25">
      <c r="A22" s="28"/>
      <c r="B22" s="135"/>
      <c r="C22" s="136"/>
      <c r="D22" s="137"/>
    </row>
    <row r="23" spans="1:7" x14ac:dyDescent="0.25">
      <c r="A23" s="28"/>
      <c r="C23" s="30"/>
      <c r="D23" s="30"/>
    </row>
    <row r="24" spans="1:7" x14ac:dyDescent="0.25">
      <c r="A24" s="28"/>
    </row>
    <row r="25" spans="1:7" x14ac:dyDescent="0.25">
      <c r="A25" s="28"/>
      <c r="C25" s="39"/>
    </row>
    <row r="26" spans="1:7" x14ac:dyDescent="0.25">
      <c r="A26" s="28"/>
    </row>
    <row r="27" spans="1:7" x14ac:dyDescent="0.25">
      <c r="A27" s="28"/>
    </row>
    <row r="28" spans="1:7" x14ac:dyDescent="0.25">
      <c r="A28" s="28"/>
    </row>
    <row r="29" spans="1:7" x14ac:dyDescent="0.25">
      <c r="A29" s="28"/>
    </row>
    <row r="30" spans="1:7" x14ac:dyDescent="0.25">
      <c r="A30" s="28"/>
    </row>
    <row r="31" spans="1:7" x14ac:dyDescent="0.25">
      <c r="A31" s="28"/>
    </row>
    <row r="32" spans="1:7" x14ac:dyDescent="0.25">
      <c r="A32" s="28"/>
    </row>
    <row r="33" spans="1:5" x14ac:dyDescent="0.25">
      <c r="A33" s="28"/>
    </row>
    <row r="34" spans="1:5" hidden="1" x14ac:dyDescent="0.25">
      <c r="A34" s="28"/>
    </row>
    <row r="35" spans="1:5" hidden="1" x14ac:dyDescent="0.25">
      <c r="A35" s="28"/>
      <c r="E35" s="30" t="e">
        <f>+E16-E31-'Unrestricted fund bal'!#REF!+E33</f>
        <v>#REF!</v>
      </c>
    </row>
    <row r="36" spans="1:5" hidden="1" x14ac:dyDescent="0.25">
      <c r="A36" s="28"/>
      <c r="E36" s="31">
        <f>+F36+E30</f>
        <v>0</v>
      </c>
    </row>
    <row r="37" spans="1:5" hidden="1" x14ac:dyDescent="0.25">
      <c r="A37" s="28"/>
    </row>
    <row r="38" spans="1:5" x14ac:dyDescent="0.25">
      <c r="A38" s="28"/>
    </row>
    <row r="39" spans="1:5" x14ac:dyDescent="0.25">
      <c r="A39" s="28"/>
    </row>
    <row r="40" spans="1:5" x14ac:dyDescent="0.25">
      <c r="A40" s="28"/>
    </row>
    <row r="41" spans="1:5" x14ac:dyDescent="0.25">
      <c r="A41" s="28"/>
    </row>
    <row r="42" spans="1:5" x14ac:dyDescent="0.25">
      <c r="A42" s="28"/>
    </row>
    <row r="43" spans="1:5" x14ac:dyDescent="0.25">
      <c r="A43" s="28"/>
    </row>
    <row r="44" spans="1:5" x14ac:dyDescent="0.25">
      <c r="A44" s="28"/>
    </row>
    <row r="45" spans="1:5" x14ac:dyDescent="0.25">
      <c r="A45" s="28"/>
    </row>
    <row r="46" spans="1:5" x14ac:dyDescent="0.25">
      <c r="A46" s="28"/>
    </row>
    <row r="47" spans="1:5" x14ac:dyDescent="0.25">
      <c r="A47" s="28"/>
    </row>
    <row r="48" spans="1:5" x14ac:dyDescent="0.25">
      <c r="A48" s="28"/>
    </row>
    <row r="49" spans="1:1" x14ac:dyDescent="0.25">
      <c r="A49" s="28"/>
    </row>
    <row r="50" spans="1:1" x14ac:dyDescent="0.25">
      <c r="A50" s="28"/>
    </row>
    <row r="51" spans="1:1" x14ac:dyDescent="0.25">
      <c r="A51" s="28"/>
    </row>
    <row r="52" spans="1:1" x14ac:dyDescent="0.25">
      <c r="A52" s="28"/>
    </row>
    <row r="53" spans="1:1" x14ac:dyDescent="0.25">
      <c r="A53" s="28"/>
    </row>
    <row r="54" spans="1:1" x14ac:dyDescent="0.25">
      <c r="A54" s="28"/>
    </row>
    <row r="55" spans="1:1" x14ac:dyDescent="0.25">
      <c r="A55" s="28"/>
    </row>
    <row r="56" spans="1:1" x14ac:dyDescent="0.25">
      <c r="A56" s="28"/>
    </row>
    <row r="57" spans="1:1" x14ac:dyDescent="0.25">
      <c r="A57" s="28"/>
    </row>
    <row r="58" spans="1:1" x14ac:dyDescent="0.25">
      <c r="A58" s="28"/>
    </row>
    <row r="59" spans="1:1" x14ac:dyDescent="0.25">
      <c r="A59" s="28"/>
    </row>
    <row r="60" spans="1:1" x14ac:dyDescent="0.25">
      <c r="A60" s="28"/>
    </row>
    <row r="61" spans="1:1" x14ac:dyDescent="0.25">
      <c r="A61" s="28"/>
    </row>
    <row r="62" spans="1:1" x14ac:dyDescent="0.25">
      <c r="A62" s="28"/>
    </row>
    <row r="63" spans="1:1" x14ac:dyDescent="0.25">
      <c r="A63" s="28"/>
    </row>
    <row r="64" spans="1:1" x14ac:dyDescent="0.25">
      <c r="A64" s="28"/>
    </row>
    <row r="65" spans="1:1" x14ac:dyDescent="0.25">
      <c r="A65" s="28"/>
    </row>
    <row r="66" spans="1:1" x14ac:dyDescent="0.25">
      <c r="A66" s="28"/>
    </row>
    <row r="67" spans="1:1" x14ac:dyDescent="0.25">
      <c r="A67" s="28"/>
    </row>
    <row r="68" spans="1:1" x14ac:dyDescent="0.25">
      <c r="A68" s="28"/>
    </row>
    <row r="69" spans="1:1" x14ac:dyDescent="0.25">
      <c r="A69" s="28"/>
    </row>
    <row r="70" spans="1:1" x14ac:dyDescent="0.25">
      <c r="A70" s="28"/>
    </row>
    <row r="71" spans="1:1" x14ac:dyDescent="0.25">
      <c r="A71" s="28"/>
    </row>
    <row r="72" spans="1:1" x14ac:dyDescent="0.25">
      <c r="A72" s="28"/>
    </row>
    <row r="73" spans="1:1" x14ac:dyDescent="0.25">
      <c r="A73" s="28"/>
    </row>
    <row r="74" spans="1:1" x14ac:dyDescent="0.25">
      <c r="A74" s="28"/>
    </row>
    <row r="75" spans="1:1" x14ac:dyDescent="0.25">
      <c r="A75" s="28"/>
    </row>
    <row r="76" spans="1:1" x14ac:dyDescent="0.25">
      <c r="A76" s="28"/>
    </row>
    <row r="77" spans="1:1" x14ac:dyDescent="0.25">
      <c r="A77" s="28"/>
    </row>
    <row r="78" spans="1:1" x14ac:dyDescent="0.25">
      <c r="A78" s="28"/>
    </row>
    <row r="79" spans="1:1" x14ac:dyDescent="0.25">
      <c r="A79" s="28"/>
    </row>
    <row r="80" spans="1:1" x14ac:dyDescent="0.25">
      <c r="A80" s="28"/>
    </row>
    <row r="81" spans="1:1" x14ac:dyDescent="0.25">
      <c r="A81" s="28"/>
    </row>
    <row r="82" spans="1:1" x14ac:dyDescent="0.25">
      <c r="A82" s="28"/>
    </row>
    <row r="83" spans="1:1" x14ac:dyDescent="0.25">
      <c r="A83" s="28"/>
    </row>
    <row r="84" spans="1:1" x14ac:dyDescent="0.25">
      <c r="A84" s="28"/>
    </row>
    <row r="85" spans="1:1" x14ac:dyDescent="0.25">
      <c r="A85" s="28"/>
    </row>
    <row r="86" spans="1:1" x14ac:dyDescent="0.25">
      <c r="A86" s="28"/>
    </row>
    <row r="87" spans="1:1" x14ac:dyDescent="0.25">
      <c r="A87" s="28"/>
    </row>
    <row r="88" spans="1:1" x14ac:dyDescent="0.25">
      <c r="A88" s="28"/>
    </row>
  </sheetData>
  <customSheetViews>
    <customSheetView guid="{8970DFA1-A026-4639-BD60-39EC20285CCC}" showRuler="0">
      <selection activeCell="C34" sqref="C34"/>
    </customSheetView>
    <customSheetView guid="{AADB8EA3-75F0-4468-B5D5-C7110D6EC38B}" showRuler="0">
      <selection activeCell="C34" sqref="C34"/>
      <pageMargins left="0" right="0" top="0" bottom="0" header="0" footer="0"/>
      <pageSetup orientation="portrait" r:id="rId1"/>
      <headerFooter alignWithMargins="0"/>
    </customSheetView>
    <customSheetView guid="{1D9F4367-0C2F-46F1-9E55-939D20D76F5B}" showRuler="0">
      <selection activeCell="C34" sqref="C34"/>
      <pageMargins left="0" right="0" top="0" bottom="0" header="0" footer="0"/>
      <pageSetup orientation="portrait" r:id="rId2"/>
      <headerFooter alignWithMargins="0"/>
    </customSheetView>
    <customSheetView guid="{921A7AC6-7D1A-435F-A825-B8B8C1A90F20}" showRuler="0">
      <selection activeCell="C34" sqref="C34"/>
      <pageMargins left="0" right="0" top="0" bottom="0" header="0" footer="0"/>
      <pageSetup orientation="portrait" r:id="rId3"/>
      <headerFooter alignWithMargins="0"/>
    </customSheetView>
    <customSheetView guid="{ED9CD846-0F6B-4BF7-A940-412E425E8FCE}" showRuler="0">
      <selection activeCell="C34" sqref="C34"/>
      <pageMargins left="0" right="0" top="0" bottom="0" header="0" footer="0"/>
      <pageSetup orientation="portrait" r:id="rId4"/>
      <headerFooter alignWithMargins="0"/>
    </customSheetView>
    <customSheetView guid="{497CB486-623F-41B0-B370-EF2A82E78B1D}" showRuler="0">
      <selection activeCell="C34" sqref="C34"/>
      <pageMargins left="0" right="0" top="0" bottom="0" header="0" footer="0"/>
      <pageSetup orientation="portrait" r:id="rId5"/>
      <headerFooter alignWithMargins="0"/>
    </customSheetView>
    <customSheetView guid="{20CF2976-B2A7-4F04-88DC-0AB25CA8A6C6}" showRuler="0">
      <selection activeCell="C34" sqref="C34"/>
      <pageMargins left="0" right="0" top="0" bottom="0" header="0" footer="0"/>
      <pageSetup orientation="portrait" r:id="rId6"/>
      <headerFooter alignWithMargins="0"/>
    </customSheetView>
    <customSheetView guid="{CB724201-FBEC-4626-9DD9-AEC98BB80DB0}" showRuler="0">
      <selection activeCell="C34" sqref="C34"/>
      <pageMargins left="0" right="0" top="0" bottom="0" header="0" footer="0"/>
      <pageSetup orientation="portrait" r:id="rId7"/>
      <headerFooter alignWithMargins="0"/>
    </customSheetView>
  </customSheetViews>
  <phoneticPr fontId="0" type="noConversion"/>
  <printOptions horizontalCentered="1"/>
  <pageMargins left="0.7" right="0.7" top="0.75" bottom="0.75" header="0.3" footer="0.3"/>
  <pageSetup orientation="portrait" r:id="rId8"/>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M41"/>
  <sheetViews>
    <sheetView showGridLines="0" showOutlineSymbols="0" topLeftCell="A9" zoomScaleNormal="100" workbookViewId="0">
      <selection activeCell="F11" sqref="F11"/>
    </sheetView>
  </sheetViews>
  <sheetFormatPr defaultRowHeight="12.75" x14ac:dyDescent="0.2"/>
  <cols>
    <col min="1" max="1" width="4.28515625" style="2" customWidth="1"/>
    <col min="2" max="2" width="60.28515625" customWidth="1"/>
    <col min="3" max="3" width="20.7109375" bestFit="1" customWidth="1"/>
    <col min="4" max="4" width="14.7109375" customWidth="1"/>
    <col min="5" max="5" width="10.28515625" bestFit="1" customWidth="1"/>
    <col min="6" max="6" width="12.7109375" bestFit="1" customWidth="1"/>
    <col min="7" max="7" width="13.42578125" bestFit="1" customWidth="1"/>
    <col min="8" max="8" width="32.7109375" customWidth="1"/>
    <col min="9" max="10" width="12.85546875" bestFit="1" customWidth="1"/>
  </cols>
  <sheetData>
    <row r="2" spans="1:6" ht="15" x14ac:dyDescent="0.25">
      <c r="B2" s="79" t="s">
        <v>65</v>
      </c>
      <c r="C2" s="31"/>
      <c r="D2" s="31"/>
    </row>
    <row r="3" spans="1:6" ht="15" x14ac:dyDescent="0.25">
      <c r="B3" s="79" t="s">
        <v>245</v>
      </c>
      <c r="C3" s="31"/>
      <c r="D3" s="31"/>
    </row>
    <row r="4" spans="1:6" ht="6.6" customHeight="1" x14ac:dyDescent="0.25">
      <c r="B4" s="31"/>
      <c r="C4" s="31"/>
      <c r="D4" s="31"/>
    </row>
    <row r="5" spans="1:6" ht="15" hidden="1" x14ac:dyDescent="0.25">
      <c r="B5" s="31"/>
      <c r="C5" s="31"/>
      <c r="D5" s="31"/>
    </row>
    <row r="6" spans="1:6" ht="15" x14ac:dyDescent="0.25">
      <c r="B6" s="31"/>
      <c r="C6" s="51"/>
      <c r="D6" s="51"/>
    </row>
    <row r="7" spans="1:6" ht="39.75" customHeight="1" x14ac:dyDescent="0.25">
      <c r="B7" s="31"/>
      <c r="C7" s="33">
        <v>2025</v>
      </c>
      <c r="D7" s="33" t="s">
        <v>241</v>
      </c>
    </row>
    <row r="8" spans="1:6" ht="17.850000000000001" customHeight="1" x14ac:dyDescent="0.25">
      <c r="B8" s="102" t="s">
        <v>0</v>
      </c>
      <c r="C8" s="103"/>
      <c r="D8" s="104"/>
    </row>
    <row r="9" spans="1:6" ht="19.899999999999999" customHeight="1" x14ac:dyDescent="0.25">
      <c r="A9" s="1"/>
      <c r="B9" s="105" t="s">
        <v>29</v>
      </c>
      <c r="C9" s="39">
        <v>462937</v>
      </c>
      <c r="D9" s="106">
        <v>462137</v>
      </c>
      <c r="E9" s="20"/>
      <c r="F9" s="5"/>
    </row>
    <row r="10" spans="1:6" ht="19.899999999999999" customHeight="1" x14ac:dyDescent="0.25">
      <c r="A10" s="1"/>
      <c r="B10" s="105" t="s">
        <v>26</v>
      </c>
      <c r="C10" s="72">
        <v>1000000</v>
      </c>
      <c r="D10" s="138">
        <v>1200000</v>
      </c>
      <c r="E10" s="20"/>
      <c r="F10" s="5"/>
    </row>
    <row r="11" spans="1:6" ht="19.899999999999999" customHeight="1" x14ac:dyDescent="0.25">
      <c r="A11" s="1"/>
      <c r="B11" s="105" t="s">
        <v>183</v>
      </c>
      <c r="C11" s="72">
        <f>APLREV!H20+APLREV!I21+104320-109418-198</f>
        <v>444719.5861876345</v>
      </c>
      <c r="D11" s="138">
        <v>435892</v>
      </c>
      <c r="E11" s="20"/>
      <c r="F11" s="20">
        <f>C11-'[8]Unrestricted fund bal'!$C$11</f>
        <v>-894791.80177417898</v>
      </c>
    </row>
    <row r="12" spans="1:6" ht="19.899999999999999" customHeight="1" x14ac:dyDescent="0.25">
      <c r="A12" s="1"/>
      <c r="B12" s="105" t="s">
        <v>184</v>
      </c>
      <c r="C12" s="72">
        <f>APLREV!D21</f>
        <v>5812713.7213178724</v>
      </c>
      <c r="D12" s="138">
        <v>2767797</v>
      </c>
      <c r="E12" s="20"/>
      <c r="F12" s="5"/>
    </row>
    <row r="13" spans="1:6" ht="19.899999999999999" customHeight="1" x14ac:dyDescent="0.25">
      <c r="A13" s="1"/>
      <c r="B13" s="105" t="s">
        <v>185</v>
      </c>
      <c r="C13" s="72">
        <f>APLREV!I20</f>
        <v>1081437.5728829557</v>
      </c>
      <c r="D13" s="138">
        <v>2614370</v>
      </c>
      <c r="E13" s="20"/>
      <c r="F13" s="5"/>
    </row>
    <row r="14" spans="1:6" ht="19.899999999999999" customHeight="1" x14ac:dyDescent="0.25">
      <c r="A14" s="1"/>
      <c r="B14" s="105" t="s">
        <v>80</v>
      </c>
      <c r="C14" s="72">
        <f>APLREV!J20</f>
        <v>119040</v>
      </c>
      <c r="D14" s="138">
        <v>129765</v>
      </c>
      <c r="E14" s="20"/>
      <c r="F14" s="5"/>
    </row>
    <row r="15" spans="1:6" ht="19.899999999999999" customHeight="1" x14ac:dyDescent="0.25">
      <c r="A15" s="1"/>
      <c r="B15" s="105" t="s">
        <v>84</v>
      </c>
      <c r="C15" s="72">
        <f>+C30</f>
        <v>1023316</v>
      </c>
      <c r="D15" s="138">
        <v>917787</v>
      </c>
      <c r="E15" s="20"/>
      <c r="F15" s="5"/>
    </row>
    <row r="16" spans="1:6" ht="19.899999999999999" customHeight="1" thickBot="1" x14ac:dyDescent="0.3">
      <c r="A16" s="1"/>
      <c r="B16" s="105" t="s">
        <v>85</v>
      </c>
      <c r="C16" s="72">
        <f>C31</f>
        <v>5280906.7281089621</v>
      </c>
      <c r="D16" s="138">
        <v>3076062</v>
      </c>
      <c r="E16" s="20"/>
      <c r="F16" s="5"/>
    </row>
    <row r="17" spans="1:10" ht="19.899999999999999" customHeight="1" x14ac:dyDescent="0.25">
      <c r="A17" s="1"/>
      <c r="B17" s="105" t="s">
        <v>108</v>
      </c>
      <c r="C17" s="222">
        <f>SUM(C9:C16)</f>
        <v>15225070.608497426</v>
      </c>
      <c r="D17" s="155">
        <f>SUM(D9:D16)</f>
        <v>11603810</v>
      </c>
      <c r="E17" s="22"/>
      <c r="G17" s="22"/>
    </row>
    <row r="18" spans="1:10" ht="19.899999999999999" customHeight="1" x14ac:dyDescent="0.25">
      <c r="A18" s="1"/>
      <c r="B18" s="105"/>
      <c r="C18" s="39"/>
      <c r="D18" s="106"/>
      <c r="G18" s="22"/>
    </row>
    <row r="19" spans="1:10" ht="19.899999999999999" customHeight="1" x14ac:dyDescent="0.25">
      <c r="A19" s="1"/>
      <c r="B19" s="225" t="s">
        <v>258</v>
      </c>
      <c r="C19" s="39"/>
      <c r="D19" s="106"/>
      <c r="G19" s="22"/>
    </row>
    <row r="20" spans="1:10" ht="19.899999999999999" customHeight="1" x14ac:dyDescent="0.25">
      <c r="A20" s="1"/>
      <c r="B20" s="105" t="s">
        <v>257</v>
      </c>
      <c r="C20" s="39">
        <v>1000000</v>
      </c>
      <c r="D20" s="106">
        <v>0</v>
      </c>
      <c r="G20" s="22"/>
    </row>
    <row r="21" spans="1:10" ht="19.899999999999999" customHeight="1" thickBot="1" x14ac:dyDescent="0.3">
      <c r="A21" s="1"/>
      <c r="B21" s="105" t="s">
        <v>296</v>
      </c>
      <c r="C21" s="73">
        <f>APLREV!K22</f>
        <v>658329.5973426135</v>
      </c>
      <c r="D21" s="139">
        <v>688171</v>
      </c>
      <c r="E21" s="20"/>
      <c r="F21" s="20"/>
      <c r="G21" s="22"/>
    </row>
    <row r="22" spans="1:10" ht="19.899999999999999" customHeight="1" x14ac:dyDescent="0.25">
      <c r="A22" s="1"/>
      <c r="B22" s="110" t="s">
        <v>259</v>
      </c>
      <c r="C22" s="108">
        <f>C21+C20+C17+2</f>
        <v>16883402.20584004</v>
      </c>
      <c r="D22" s="221">
        <f>D21+D17</f>
        <v>12291981</v>
      </c>
      <c r="F22" s="30"/>
    </row>
    <row r="23" spans="1:10" ht="19.899999999999999" customHeight="1" x14ac:dyDescent="0.25">
      <c r="A23" s="1"/>
      <c r="B23" s="76"/>
      <c r="C23" s="39"/>
      <c r="D23" s="39"/>
      <c r="F23" s="30"/>
    </row>
    <row r="24" spans="1:10" ht="19.899999999999999" customHeight="1" x14ac:dyDescent="0.25">
      <c r="A24" s="1"/>
      <c r="B24" s="76"/>
      <c r="C24" s="39"/>
      <c r="D24" s="108"/>
    </row>
    <row r="25" spans="1:10" ht="19.899999999999999" customHeight="1" x14ac:dyDescent="0.25">
      <c r="A25" s="1"/>
      <c r="B25" s="102" t="s">
        <v>187</v>
      </c>
      <c r="C25" s="247"/>
      <c r="D25" s="248"/>
    </row>
    <row r="26" spans="1:10" ht="19.899999999999999" customHeight="1" x14ac:dyDescent="0.25">
      <c r="A26" s="1"/>
      <c r="B26" s="105" t="s">
        <v>74</v>
      </c>
      <c r="C26" s="39">
        <f>APLREV!C23</f>
        <v>310606</v>
      </c>
      <c r="D26" s="106">
        <v>310606</v>
      </c>
      <c r="F26" s="22"/>
      <c r="G26" s="22"/>
      <c r="I26" s="149"/>
      <c r="J26" s="149"/>
    </row>
    <row r="27" spans="1:10" ht="19.899999999999999" customHeight="1" x14ac:dyDescent="0.25">
      <c r="A27" s="1"/>
      <c r="B27" s="105" t="s">
        <v>75</v>
      </c>
      <c r="C27" s="72">
        <f>SUM(APLREV!D20:D23)-C28</f>
        <v>221639</v>
      </c>
      <c r="D27" s="138">
        <f>149431</f>
        <v>149431</v>
      </c>
      <c r="F27" s="22"/>
      <c r="G27" s="20"/>
      <c r="I27" s="149"/>
      <c r="J27" s="149"/>
    </row>
    <row r="28" spans="1:10" ht="19.899999999999999" customHeight="1" x14ac:dyDescent="0.25">
      <c r="A28" s="1"/>
      <c r="B28" s="105" t="s">
        <v>184</v>
      </c>
      <c r="C28" s="72">
        <f>APLREV!D21</f>
        <v>5812713.7213178724</v>
      </c>
      <c r="D28" s="138">
        <f>2767797</f>
        <v>2767797</v>
      </c>
      <c r="F28" s="22"/>
      <c r="G28" s="20"/>
      <c r="I28" s="149"/>
      <c r="J28" s="149"/>
    </row>
    <row r="29" spans="1:10" ht="19.899999999999999" customHeight="1" x14ac:dyDescent="0.25">
      <c r="A29" s="1"/>
      <c r="B29" s="105" t="s">
        <v>297</v>
      </c>
      <c r="C29" s="72">
        <f>SVCPLAN!C33-'Unrestricted fund bal'!C33+2</f>
        <v>1735734</v>
      </c>
      <c r="D29" s="138">
        <v>200450</v>
      </c>
      <c r="F29" s="22"/>
      <c r="G29" s="20"/>
      <c r="I29" s="149"/>
      <c r="J29" s="149"/>
    </row>
    <row r="30" spans="1:10" ht="19.899999999999999" customHeight="1" x14ac:dyDescent="0.25">
      <c r="A30" s="1"/>
      <c r="B30" s="105" t="s">
        <v>84</v>
      </c>
      <c r="C30" s="72">
        <f>[6]BUDGET!$D$42</f>
        <v>1023316</v>
      </c>
      <c r="D30" s="138">
        <v>917787</v>
      </c>
      <c r="F30" s="22"/>
      <c r="G30" s="20"/>
      <c r="I30" s="149"/>
      <c r="J30" s="149"/>
    </row>
    <row r="31" spans="1:10" ht="19.899999999999999" customHeight="1" x14ac:dyDescent="0.25">
      <c r="A31" s="1"/>
      <c r="B31" s="105" t="s">
        <v>85</v>
      </c>
      <c r="C31" s="72">
        <f>[6]BUDGET!$E$42</f>
        <v>5280906.7281089621</v>
      </c>
      <c r="D31" s="138">
        <v>3076062</v>
      </c>
      <c r="F31" s="22"/>
      <c r="G31" s="20"/>
      <c r="I31" s="149"/>
      <c r="J31" s="149"/>
    </row>
    <row r="32" spans="1:10" ht="19.899999999999999" customHeight="1" x14ac:dyDescent="0.25">
      <c r="A32" s="1"/>
      <c r="B32" s="105" t="s">
        <v>79</v>
      </c>
      <c r="C32" s="72">
        <f>SUM(APLREV!I20:I23)</f>
        <v>1743798.7564132037</v>
      </c>
      <c r="D32" s="138">
        <v>3389054</v>
      </c>
      <c r="E32" s="20"/>
      <c r="F32" s="22"/>
      <c r="G32" s="20"/>
      <c r="I32" s="149"/>
      <c r="J32" s="149"/>
    </row>
    <row r="33" spans="1:13" ht="19.899999999999999" customHeight="1" x14ac:dyDescent="0.25">
      <c r="A33" s="1"/>
      <c r="B33" s="105" t="s">
        <v>188</v>
      </c>
      <c r="C33" s="72">
        <f>LOCAL!C21-'Unrestricted fund bal'!C35</f>
        <v>350308</v>
      </c>
      <c r="D33" s="138">
        <v>360930</v>
      </c>
      <c r="E33" s="21"/>
      <c r="F33" s="22"/>
      <c r="G33" s="21"/>
      <c r="H33" s="20"/>
      <c r="I33" s="149"/>
      <c r="J33" s="149"/>
      <c r="K33" s="21"/>
      <c r="L33" s="21"/>
      <c r="M33" s="21"/>
    </row>
    <row r="34" spans="1:13" ht="19.899999999999999" customHeight="1" x14ac:dyDescent="0.25">
      <c r="A34" s="1"/>
      <c r="B34" s="105" t="s">
        <v>78</v>
      </c>
      <c r="C34" s="72">
        <f>SUM(APLREV!H20:'APLREV'!H23)</f>
        <v>404379</v>
      </c>
      <c r="D34" s="138">
        <v>404379</v>
      </c>
      <c r="F34" s="22"/>
      <c r="I34" s="150"/>
    </row>
    <row r="35" spans="1:13" ht="19.899999999999999" customHeight="1" thickBot="1" x14ac:dyDescent="0.3">
      <c r="A35" s="1"/>
      <c r="B35" s="105" t="s">
        <v>124</v>
      </c>
      <c r="C35" s="73">
        <v>0</v>
      </c>
      <c r="D35" s="139">
        <v>0</v>
      </c>
      <c r="F35" s="22"/>
      <c r="I35" s="24"/>
      <c r="J35" s="24"/>
    </row>
    <row r="36" spans="1:13" ht="19.899999999999999" customHeight="1" x14ac:dyDescent="0.25">
      <c r="A36" s="1"/>
      <c r="B36" s="105" t="s">
        <v>189</v>
      </c>
      <c r="C36" s="39">
        <f>SUM(C26:C35)+1</f>
        <v>16883402.205840036</v>
      </c>
      <c r="D36" s="106">
        <f>SUM(D26:D35)</f>
        <v>11576496</v>
      </c>
      <c r="F36" s="22"/>
    </row>
    <row r="37" spans="1:13" ht="19.899999999999999" customHeight="1" thickBot="1" x14ac:dyDescent="0.3">
      <c r="A37" s="1"/>
      <c r="B37" s="140"/>
      <c r="C37" s="249"/>
      <c r="D37" s="106"/>
      <c r="I37" s="22"/>
    </row>
    <row r="38" spans="1:13" ht="19.899999999999999" customHeight="1" thickBot="1" x14ac:dyDescent="0.3">
      <c r="A38" s="1"/>
      <c r="B38" s="141" t="s">
        <v>277</v>
      </c>
      <c r="C38" s="220">
        <f>C22-C36</f>
        <v>0</v>
      </c>
      <c r="D38" s="142">
        <f>D22-D36</f>
        <v>715485</v>
      </c>
      <c r="E38" s="22"/>
    </row>
    <row r="39" spans="1:13" ht="50.1" customHeight="1" thickTop="1" x14ac:dyDescent="0.2">
      <c r="B39" s="256" t="s">
        <v>295</v>
      </c>
      <c r="C39" s="257"/>
      <c r="D39" s="257"/>
    </row>
    <row r="40" spans="1:13" ht="24.95" customHeight="1" x14ac:dyDescent="0.2">
      <c r="B40" s="256" t="s">
        <v>299</v>
      </c>
      <c r="C40" s="257"/>
      <c r="D40" s="257"/>
      <c r="F40" s="22"/>
    </row>
    <row r="41" spans="1:13" ht="24.95" customHeight="1" x14ac:dyDescent="0.2">
      <c r="B41" s="257"/>
      <c r="C41" s="257"/>
      <c r="D41" s="257"/>
    </row>
  </sheetData>
  <customSheetViews>
    <customSheetView guid="{8970DFA1-A026-4639-BD60-39EC20285CCC}" showRuler="0" topLeftCell="A4">
      <selection activeCell="F22" sqref="F22"/>
    </customSheetView>
    <customSheetView guid="{AADB8EA3-75F0-4468-B5D5-C7110D6EC38B}" showRuler="0" topLeftCell="A4">
      <selection activeCell="F22" sqref="F22"/>
      <pageMargins left="0" right="0" top="0" bottom="0" header="0" footer="0"/>
      <pageSetup orientation="portrait" r:id="rId1"/>
      <headerFooter alignWithMargins="0"/>
    </customSheetView>
    <customSheetView guid="{1D9F4367-0C2F-46F1-9E55-939D20D76F5B}" showRuler="0" topLeftCell="A4">
      <selection activeCell="F22" sqref="F22"/>
      <pageMargins left="0" right="0" top="0" bottom="0" header="0" footer="0"/>
      <pageSetup orientation="portrait" r:id="rId2"/>
      <headerFooter alignWithMargins="0"/>
    </customSheetView>
    <customSheetView guid="{921A7AC6-7D1A-435F-A825-B8B8C1A90F20}" showRuler="0" topLeftCell="A4">
      <selection activeCell="F22" sqref="F22"/>
      <pageMargins left="0" right="0" top="0" bottom="0" header="0" footer="0"/>
      <pageSetup orientation="portrait" r:id="rId3"/>
      <headerFooter alignWithMargins="0"/>
    </customSheetView>
    <customSheetView guid="{ED9CD846-0F6B-4BF7-A940-412E425E8FCE}" showRuler="0" topLeftCell="A4">
      <selection activeCell="F22" sqref="F22"/>
      <pageMargins left="0" right="0" top="0" bottom="0" header="0" footer="0"/>
      <pageSetup orientation="portrait" r:id="rId4"/>
      <headerFooter alignWithMargins="0"/>
    </customSheetView>
    <customSheetView guid="{497CB486-623F-41B0-B370-EF2A82E78B1D}" showRuler="0" topLeftCell="A4">
      <selection activeCell="F22" sqref="F22"/>
      <pageMargins left="0" right="0" top="0" bottom="0" header="0" footer="0"/>
      <pageSetup orientation="portrait" r:id="rId5"/>
      <headerFooter alignWithMargins="0"/>
    </customSheetView>
    <customSheetView guid="{20CF2976-B2A7-4F04-88DC-0AB25CA8A6C6}" showRuler="0" topLeftCell="A4">
      <selection activeCell="F22" sqref="F22"/>
      <pageMargins left="0" right="0" top="0" bottom="0" header="0" footer="0"/>
      <pageSetup orientation="portrait" r:id="rId6"/>
      <headerFooter alignWithMargins="0"/>
    </customSheetView>
    <customSheetView guid="{CB724201-FBEC-4626-9DD9-AEC98BB80DB0}" showRuler="0" topLeftCell="A4">
      <selection activeCell="F22" sqref="F22"/>
      <pageMargins left="0" right="0" top="0" bottom="0" header="0" footer="0"/>
      <pageSetup orientation="portrait" r:id="rId7"/>
      <headerFooter alignWithMargins="0"/>
    </customSheetView>
  </customSheetViews>
  <mergeCells count="2">
    <mergeCell ref="B39:D39"/>
    <mergeCell ref="B40:D41"/>
  </mergeCells>
  <phoneticPr fontId="0" type="noConversion"/>
  <printOptions horizontalCentered="1"/>
  <pageMargins left="0.7" right="0.7" top="0.58791666666666698" bottom="0.5" header="0.3" footer="0.3"/>
  <pageSetup scale="90" orientation="portrait" r:id="rId8"/>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47"/>
  <sheetViews>
    <sheetView showGridLines="0" showOutlineSymbols="0" zoomScaleNormal="100" workbookViewId="0">
      <selection activeCell="K20" sqref="K20"/>
    </sheetView>
  </sheetViews>
  <sheetFormatPr defaultColWidth="9.140625" defaultRowHeight="15" x14ac:dyDescent="0.25"/>
  <cols>
    <col min="1" max="1" width="7.42578125" style="31" customWidth="1"/>
    <col min="2" max="2" width="57.85546875" style="31" bestFit="1" customWidth="1"/>
    <col min="3" max="3" width="14.7109375" style="31" customWidth="1"/>
    <col min="4" max="4" width="16" style="31" customWidth="1"/>
    <col min="5" max="5" width="9.85546875" style="31" bestFit="1" customWidth="1"/>
    <col min="6" max="6" width="11.28515625" style="31" bestFit="1" customWidth="1"/>
    <col min="7" max="7" width="13.5703125" style="31" bestFit="1" customWidth="1"/>
    <col min="8" max="8" width="44" style="31" customWidth="1"/>
    <col min="9" max="16384" width="9.140625" style="31"/>
  </cols>
  <sheetData>
    <row r="1" spans="2:7" x14ac:dyDescent="0.25">
      <c r="B1" s="79" t="s">
        <v>65</v>
      </c>
    </row>
    <row r="2" spans="2:7" x14ac:dyDescent="0.25">
      <c r="B2" s="79" t="s">
        <v>246</v>
      </c>
    </row>
    <row r="3" spans="2:7" ht="9" customHeight="1" x14ac:dyDescent="0.25"/>
    <row r="4" spans="2:7" ht="9" customHeight="1" x14ac:dyDescent="0.25">
      <c r="C4" s="51"/>
      <c r="D4" s="51"/>
    </row>
    <row r="5" spans="2:7" ht="37.700000000000003" customHeight="1" x14ac:dyDescent="0.25">
      <c r="C5" s="96">
        <v>2025</v>
      </c>
      <c r="D5" s="96" t="s">
        <v>241</v>
      </c>
    </row>
    <row r="6" spans="2:7" ht="17.850000000000001" customHeight="1" x14ac:dyDescent="0.25">
      <c r="B6" s="102" t="s">
        <v>0</v>
      </c>
      <c r="C6" s="103"/>
      <c r="D6" s="104"/>
    </row>
    <row r="7" spans="2:7" ht="19.899999999999999" customHeight="1" x14ac:dyDescent="0.25">
      <c r="B7" s="105" t="s">
        <v>91</v>
      </c>
      <c r="C7" s="39">
        <f>+'Unrestricted fund bal'!C9+'Unrestricted fund bal'!C10+'Unrestricted fund bal'!C14+'Unrestricted fund bal'!C15+'Unrestricted fund bal'!C16+104323-109418-198</f>
        <v>7880906.7281089621</v>
      </c>
      <c r="D7" s="106">
        <v>5035496</v>
      </c>
      <c r="E7" s="39"/>
      <c r="F7" s="30"/>
      <c r="G7" s="39"/>
    </row>
    <row r="8" spans="2:7" ht="19.899999999999999" customHeight="1" x14ac:dyDescent="0.25">
      <c r="B8" s="105" t="s">
        <v>74</v>
      </c>
      <c r="C8" s="72">
        <f>+APLREV!C19+APLREV!C20</f>
        <v>18747476.84426279</v>
      </c>
      <c r="D8" s="138">
        <v>18060985</v>
      </c>
      <c r="F8" s="30"/>
    </row>
    <row r="9" spans="2:7" ht="19.899999999999999" customHeight="1" x14ac:dyDescent="0.25">
      <c r="B9" s="105" t="s">
        <v>77</v>
      </c>
      <c r="C9" s="72">
        <f>+APLREV!F16+APLREV!F11+APLREV!F20</f>
        <v>494083638.62170058</v>
      </c>
      <c r="D9" s="138">
        <v>466428378</v>
      </c>
      <c r="F9" s="30"/>
    </row>
    <row r="10" spans="2:7" ht="19.899999999999999" customHeight="1" x14ac:dyDescent="0.25">
      <c r="B10" s="105" t="s">
        <v>75</v>
      </c>
      <c r="C10" s="72">
        <f>+APLREV!D25-APLREV!D23-APLREV!D22-C12</f>
        <v>21551199.484958686</v>
      </c>
      <c r="D10" s="138">
        <f>10850991+2767797</f>
        <v>13618788</v>
      </c>
      <c r="E10" s="30"/>
      <c r="F10" s="30"/>
      <c r="G10" s="72"/>
    </row>
    <row r="11" spans="2:7" ht="19.899999999999999" customHeight="1" x14ac:dyDescent="0.25">
      <c r="B11" s="105" t="s">
        <v>78</v>
      </c>
      <c r="C11" s="72">
        <f>+APLREV!H25-APLREV!H23</f>
        <v>30329348.712780662</v>
      </c>
      <c r="D11" s="138">
        <v>19643058</v>
      </c>
      <c r="E11" s="30"/>
      <c r="F11" s="30"/>
    </row>
    <row r="12" spans="2:7" ht="19.899999999999999" customHeight="1" x14ac:dyDescent="0.25">
      <c r="B12" s="105" t="s">
        <v>190</v>
      </c>
      <c r="C12" s="72">
        <f>+APLREV!D13+APLREV!D15</f>
        <v>1921134.9345801028</v>
      </c>
      <c r="D12" s="138">
        <v>2773412</v>
      </c>
      <c r="E12" s="30"/>
      <c r="F12" s="30"/>
    </row>
    <row r="13" spans="2:7" ht="19.899999999999999" customHeight="1" x14ac:dyDescent="0.25">
      <c r="B13" s="105" t="s">
        <v>191</v>
      </c>
      <c r="C13" s="72">
        <f>APLREV!G20</f>
        <v>6889626</v>
      </c>
      <c r="D13" s="138">
        <v>5720451</v>
      </c>
      <c r="F13" s="30"/>
    </row>
    <row r="14" spans="2:7" ht="19.899999999999999" customHeight="1" x14ac:dyDescent="0.25">
      <c r="B14" s="105" t="s">
        <v>79</v>
      </c>
      <c r="C14" s="72">
        <f>+APLREV!I25-APLREV!I23-APLREV!I22</f>
        <v>9705295.4865837079</v>
      </c>
      <c r="D14" s="138">
        <v>8590955</v>
      </c>
      <c r="F14" s="30"/>
    </row>
    <row r="15" spans="2:7" ht="19.899999999999999" customHeight="1" x14ac:dyDescent="0.25">
      <c r="B15" s="105" t="s">
        <v>76</v>
      </c>
      <c r="C15" s="72">
        <f>+APLREV!E25-APLREV!E23</f>
        <v>2060341.9314787497</v>
      </c>
      <c r="D15" s="138">
        <v>1453502</v>
      </c>
      <c r="F15" s="30"/>
    </row>
    <row r="16" spans="2:7" ht="19.899999999999999" customHeight="1" x14ac:dyDescent="0.25">
      <c r="B16" s="105"/>
      <c r="C16" s="72"/>
      <c r="D16" s="138"/>
      <c r="F16" s="30"/>
    </row>
    <row r="17" spans="2:8" ht="19.899999999999999" customHeight="1" x14ac:dyDescent="0.25">
      <c r="B17" s="225" t="s">
        <v>276</v>
      </c>
      <c r="C17" s="72"/>
      <c r="D17" s="138"/>
      <c r="F17" s="30"/>
    </row>
    <row r="18" spans="2:8" ht="19.899999999999999" customHeight="1" x14ac:dyDescent="0.25">
      <c r="B18" s="105" t="s">
        <v>257</v>
      </c>
      <c r="C18" s="39">
        <v>1000000</v>
      </c>
      <c r="D18" s="106">
        <v>0.03</v>
      </c>
      <c r="F18" s="30"/>
    </row>
    <row r="19" spans="2:8" ht="19.899999999999999" customHeight="1" x14ac:dyDescent="0.25">
      <c r="B19" s="105" t="s">
        <v>290</v>
      </c>
      <c r="C19" s="203">
        <f>APLREV!K22-1+0.5</f>
        <v>658329.0973426135</v>
      </c>
      <c r="D19" s="204">
        <v>688171</v>
      </c>
      <c r="F19" s="30"/>
    </row>
    <row r="20" spans="2:8" ht="19.899999999999999" customHeight="1" x14ac:dyDescent="0.25">
      <c r="B20" s="105" t="s">
        <v>259</v>
      </c>
      <c r="C20" s="39">
        <f>SUM(C7:C19)+1</f>
        <v>594827298.84179688</v>
      </c>
      <c r="D20" s="106">
        <f>SUM(D7:D19)</f>
        <v>542013196.02999997</v>
      </c>
      <c r="E20" s="39"/>
      <c r="F20" s="145"/>
      <c r="G20" s="178"/>
    </row>
    <row r="21" spans="2:8" ht="16.5" customHeight="1" x14ac:dyDescent="0.25">
      <c r="B21" s="110"/>
      <c r="C21" s="143"/>
      <c r="D21" s="144"/>
      <c r="H21" s="39"/>
    </row>
    <row r="22" spans="2:8" ht="16.5" customHeight="1" x14ac:dyDescent="0.25">
      <c r="B22" s="76"/>
      <c r="C22" s="30"/>
      <c r="D22" s="30"/>
      <c r="H22" s="39"/>
    </row>
    <row r="23" spans="2:8" ht="19.899999999999999" customHeight="1" x14ac:dyDescent="0.25">
      <c r="B23" s="102" t="s">
        <v>192</v>
      </c>
      <c r="C23" s="113"/>
      <c r="D23" s="114"/>
      <c r="H23" s="72"/>
    </row>
    <row r="24" spans="2:8" ht="19.899999999999999" customHeight="1" x14ac:dyDescent="0.25">
      <c r="B24" s="105" t="s">
        <v>91</v>
      </c>
      <c r="C24" s="39">
        <f>+APLREV!J25+APLREV!G21</f>
        <v>8390265.7281089611</v>
      </c>
      <c r="D24" s="106">
        <v>4194299</v>
      </c>
      <c r="F24" s="39"/>
      <c r="G24" s="39"/>
    </row>
    <row r="25" spans="2:8" ht="19.899999999999999" customHeight="1" x14ac:dyDescent="0.25">
      <c r="B25" s="105" t="s">
        <v>74</v>
      </c>
      <c r="C25" s="72">
        <f>+ALLEXP!C24</f>
        <v>19058082.844262794</v>
      </c>
      <c r="D25" s="138">
        <v>18371591</v>
      </c>
      <c r="F25" s="72"/>
      <c r="G25" s="39"/>
    </row>
    <row r="26" spans="2:8" ht="19.899999999999999" customHeight="1" x14ac:dyDescent="0.25">
      <c r="B26" s="105" t="s">
        <v>77</v>
      </c>
      <c r="C26" s="72">
        <f>+ALLEXP!G24</f>
        <v>494083638.62170058</v>
      </c>
      <c r="D26" s="138">
        <v>466428378</v>
      </c>
      <c r="F26" s="72"/>
    </row>
    <row r="27" spans="2:8" ht="19.899999999999999" customHeight="1" x14ac:dyDescent="0.25">
      <c r="B27" s="105" t="s">
        <v>75</v>
      </c>
      <c r="C27" s="72">
        <f>+ALLEXP!D24-C29</f>
        <v>21772838.484958686</v>
      </c>
      <c r="D27" s="138">
        <f>11000422+2767797</f>
        <v>13768219</v>
      </c>
      <c r="F27" s="72"/>
    </row>
    <row r="28" spans="2:8" ht="19.899999999999999" customHeight="1" x14ac:dyDescent="0.25">
      <c r="B28" s="105" t="s">
        <v>78</v>
      </c>
      <c r="C28" s="72">
        <f>+ALLEXP!I24</f>
        <v>30354347.712780658</v>
      </c>
      <c r="D28" s="138">
        <v>19668057</v>
      </c>
      <c r="F28" s="72"/>
      <c r="G28" s="39"/>
    </row>
    <row r="29" spans="2:8" ht="19.899999999999999" customHeight="1" x14ac:dyDescent="0.25">
      <c r="B29" s="105" t="s">
        <v>190</v>
      </c>
      <c r="C29" s="72">
        <f>+C12</f>
        <v>1921134.9345801028</v>
      </c>
      <c r="D29" s="138">
        <v>2773412</v>
      </c>
      <c r="F29" s="72"/>
    </row>
    <row r="30" spans="2:8" ht="19.899999999999999" customHeight="1" x14ac:dyDescent="0.25">
      <c r="B30" s="105" t="s">
        <v>79</v>
      </c>
      <c r="C30" s="72">
        <f>+ALLEXP!J24</f>
        <v>10297020.083926318</v>
      </c>
      <c r="D30" s="138">
        <v>9309128</v>
      </c>
      <c r="F30" s="72"/>
    </row>
    <row r="31" spans="2:8" ht="19.899999999999999" customHeight="1" x14ac:dyDescent="0.25">
      <c r="B31" s="105" t="s">
        <v>191</v>
      </c>
      <c r="C31" s="72">
        <f>+APLREV!G20+APLREV!G24</f>
        <v>6889626</v>
      </c>
      <c r="D31" s="138">
        <v>5777825</v>
      </c>
      <c r="F31" s="72"/>
    </row>
    <row r="32" spans="2:8" ht="19.899999999999999" customHeight="1" x14ac:dyDescent="0.25">
      <c r="B32" s="105" t="s">
        <v>76</v>
      </c>
      <c r="C32" s="203">
        <f>+APLREV!E25</f>
        <v>2060341.9314787497</v>
      </c>
      <c r="D32" s="204">
        <v>1453502</v>
      </c>
      <c r="F32" s="72"/>
      <c r="H32" s="39"/>
    </row>
    <row r="33" spans="1:8" ht="19.899999999999999" customHeight="1" x14ac:dyDescent="0.25">
      <c r="B33" s="105" t="s">
        <v>189</v>
      </c>
      <c r="C33" s="39">
        <f>SUM(C24:C32)+1</f>
        <v>594827297.34179688</v>
      </c>
      <c r="D33" s="106">
        <f>SUM(D24:D32)</f>
        <v>541744411</v>
      </c>
      <c r="F33" s="146"/>
      <c r="G33" s="156"/>
      <c r="H33" s="39"/>
    </row>
    <row r="34" spans="1:8" ht="16.5" customHeight="1" x14ac:dyDescent="0.25">
      <c r="B34" s="105"/>
      <c r="C34" s="108"/>
      <c r="D34" s="109"/>
    </row>
    <row r="35" spans="1:8" ht="16.5" customHeight="1" x14ac:dyDescent="0.25">
      <c r="B35" s="147"/>
      <c r="C35" s="223"/>
      <c r="D35" s="223"/>
      <c r="H35" s="39"/>
    </row>
    <row r="36" spans="1:8" ht="19.899999999999999" customHeight="1" thickBot="1" x14ac:dyDescent="0.3">
      <c r="B36" s="205" t="s">
        <v>278</v>
      </c>
      <c r="C36" s="207">
        <f>C20-C33-0.5</f>
        <v>1</v>
      </c>
      <c r="D36" s="224">
        <f>D20-D33</f>
        <v>268785.02999997139</v>
      </c>
    </row>
    <row r="37" spans="1:8" ht="16.5" customHeight="1" thickTop="1" x14ac:dyDescent="0.25">
      <c r="B37" s="105"/>
      <c r="C37" s="39"/>
      <c r="D37" s="106"/>
      <c r="G37" s="153"/>
    </row>
    <row r="38" spans="1:8" ht="16.5" customHeight="1" x14ac:dyDescent="0.25">
      <c r="B38" s="147"/>
      <c r="C38" s="223"/>
      <c r="D38" s="223"/>
    </row>
    <row r="39" spans="1:8" ht="19.899999999999999" customHeight="1" x14ac:dyDescent="0.25">
      <c r="B39" s="118" t="s">
        <v>193</v>
      </c>
      <c r="C39" s="250"/>
      <c r="D39" s="251"/>
      <c r="G39" s="39"/>
    </row>
    <row r="40" spans="1:8" ht="19.899999999999999" customHeight="1" thickBot="1" x14ac:dyDescent="0.3">
      <c r="B40" s="105" t="s">
        <v>194</v>
      </c>
      <c r="C40" s="123">
        <f>12617936+1841301+14807164-3369</f>
        <v>29263032</v>
      </c>
      <c r="D40" s="124">
        <v>12944096</v>
      </c>
    </row>
    <row r="41" spans="1:8" ht="19.899999999999999" customHeight="1" thickTop="1" thickBot="1" x14ac:dyDescent="0.3">
      <c r="B41" s="105" t="s">
        <v>195</v>
      </c>
      <c r="C41" s="165">
        <f>3337466+3369</f>
        <v>3340835</v>
      </c>
      <c r="D41" s="148">
        <v>18899085</v>
      </c>
    </row>
    <row r="42" spans="1:8" ht="19.899999999999999" customHeight="1" thickTop="1" thickBot="1" x14ac:dyDescent="0.3">
      <c r="B42" s="105" t="s">
        <v>196</v>
      </c>
      <c r="C42" s="123">
        <v>0</v>
      </c>
      <c r="D42" s="148">
        <v>0</v>
      </c>
    </row>
    <row r="43" spans="1:8" ht="15.75" thickTop="1" x14ac:dyDescent="0.25">
      <c r="B43" s="135"/>
      <c r="C43" s="108"/>
      <c r="D43" s="109"/>
    </row>
    <row r="44" spans="1:8" customFormat="1" ht="50.1" customHeight="1" x14ac:dyDescent="0.2">
      <c r="A44" s="2"/>
      <c r="B44" s="256" t="s">
        <v>295</v>
      </c>
      <c r="C44" s="257"/>
      <c r="D44" s="257"/>
    </row>
    <row r="45" spans="1:8" customFormat="1" ht="24.95" customHeight="1" x14ac:dyDescent="0.2">
      <c r="A45" s="2"/>
      <c r="B45" s="256"/>
      <c r="C45" s="257"/>
      <c r="D45" s="257"/>
      <c r="F45" s="22"/>
    </row>
    <row r="46" spans="1:8" customFormat="1" ht="24.95" customHeight="1" x14ac:dyDescent="0.2">
      <c r="A46" s="2"/>
      <c r="B46" s="257"/>
      <c r="C46" s="257"/>
      <c r="D46" s="257"/>
    </row>
    <row r="47" spans="1:8" x14ac:dyDescent="0.25">
      <c r="C47" s="39"/>
    </row>
  </sheetData>
  <customSheetViews>
    <customSheetView guid="{8970DFA1-A026-4639-BD60-39EC20285CCC}" showRuler="0" topLeftCell="A6">
      <selection activeCell="C34" sqref="C34"/>
    </customSheetView>
    <customSheetView guid="{AADB8EA3-75F0-4468-B5D5-C7110D6EC38B}" showRuler="0" topLeftCell="A6">
      <selection activeCell="C34" sqref="C34"/>
      <pageMargins left="0" right="0" top="0" bottom="0" header="0" footer="0"/>
      <pageSetup orientation="portrait" r:id="rId1"/>
      <headerFooter alignWithMargins="0"/>
    </customSheetView>
    <customSheetView guid="{1D9F4367-0C2F-46F1-9E55-939D20D76F5B}" showRuler="0" topLeftCell="A6">
      <selection activeCell="C34" sqref="C34"/>
      <pageMargins left="0" right="0" top="0" bottom="0" header="0" footer="0"/>
      <pageSetup orientation="portrait" r:id="rId2"/>
      <headerFooter alignWithMargins="0"/>
    </customSheetView>
    <customSheetView guid="{921A7AC6-7D1A-435F-A825-B8B8C1A90F20}" showRuler="0" topLeftCell="A6">
      <selection activeCell="C34" sqref="C34"/>
      <pageMargins left="0" right="0" top="0" bottom="0" header="0" footer="0"/>
      <pageSetup orientation="portrait" r:id="rId3"/>
      <headerFooter alignWithMargins="0"/>
    </customSheetView>
    <customSheetView guid="{ED9CD846-0F6B-4BF7-A940-412E425E8FCE}" showRuler="0" topLeftCell="A6">
      <selection activeCell="C34" sqref="C34"/>
      <pageMargins left="0" right="0" top="0" bottom="0" header="0" footer="0"/>
      <pageSetup orientation="portrait" r:id="rId4"/>
      <headerFooter alignWithMargins="0"/>
    </customSheetView>
    <customSheetView guid="{497CB486-623F-41B0-B370-EF2A82E78B1D}" showRuler="0" topLeftCell="A6">
      <selection activeCell="C34" sqref="C34"/>
      <pageMargins left="0" right="0" top="0" bottom="0" header="0" footer="0"/>
      <pageSetup orientation="portrait" r:id="rId5"/>
      <headerFooter alignWithMargins="0"/>
    </customSheetView>
    <customSheetView guid="{20CF2976-B2A7-4F04-88DC-0AB25CA8A6C6}" showRuler="0" topLeftCell="A6">
      <selection activeCell="C34" sqref="C34"/>
      <pageMargins left="0" right="0" top="0" bottom="0" header="0" footer="0"/>
      <pageSetup orientation="portrait" r:id="rId6"/>
      <headerFooter alignWithMargins="0"/>
    </customSheetView>
    <customSheetView guid="{CB724201-FBEC-4626-9DD9-AEC98BB80DB0}" showRuler="0" topLeftCell="A6">
      <selection activeCell="C34" sqref="C34"/>
      <pageMargins left="0" right="0" top="0" bottom="0" header="0" footer="0"/>
      <pageSetup orientation="portrait" r:id="rId7"/>
      <headerFooter alignWithMargins="0"/>
    </customSheetView>
  </customSheetViews>
  <mergeCells count="2">
    <mergeCell ref="B44:D44"/>
    <mergeCell ref="B45:D46"/>
  </mergeCells>
  <phoneticPr fontId="0" type="noConversion"/>
  <printOptions horizontalCentered="1"/>
  <pageMargins left="0.7" right="0.7" top="0.75" bottom="0.5" header="0.3" footer="0.3"/>
  <pageSetup scale="79" orientation="portrait" r:id="rId8"/>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0BEE2-3D28-4F5E-A510-2738912844B5}">
  <sheetPr>
    <pageSetUpPr fitToPage="1"/>
  </sheetPr>
  <dimension ref="N9:T47"/>
  <sheetViews>
    <sheetView showOutlineSymbols="0" zoomScale="90" zoomScaleNormal="90" workbookViewId="0">
      <selection activeCell="R11" sqref="R11"/>
    </sheetView>
  </sheetViews>
  <sheetFormatPr defaultRowHeight="12.75" x14ac:dyDescent="0.2"/>
  <cols>
    <col min="13" max="13" width="11.140625" bestFit="1" customWidth="1"/>
    <col min="16" max="16" width="11.140625" bestFit="1" customWidth="1"/>
    <col min="17" max="17" width="10.7109375" bestFit="1" customWidth="1"/>
    <col min="18" max="18" width="16.140625" bestFit="1" customWidth="1"/>
    <col min="19" max="19" width="10.5703125" bestFit="1" customWidth="1"/>
    <col min="20" max="20" width="16.28515625" bestFit="1" customWidth="1"/>
  </cols>
  <sheetData>
    <row r="9" spans="20:20" x14ac:dyDescent="0.2">
      <c r="T9" s="27"/>
    </row>
    <row r="11" spans="20:20" x14ac:dyDescent="0.2">
      <c r="T11" s="24"/>
    </row>
    <row r="14" spans="20:20" x14ac:dyDescent="0.2">
      <c r="T14" s="27"/>
    </row>
    <row r="20" spans="18:20" x14ac:dyDescent="0.2">
      <c r="T20" s="27"/>
    </row>
    <row r="22" spans="18:20" x14ac:dyDescent="0.2">
      <c r="R22" s="27"/>
    </row>
    <row r="39" spans="14:18" x14ac:dyDescent="0.2">
      <c r="R39" s="22"/>
    </row>
    <row r="47" spans="14:18" x14ac:dyDescent="0.2">
      <c r="N47" s="22"/>
    </row>
  </sheetData>
  <printOptions horizontalCentered="1" verticalCentered="1"/>
  <pageMargins left="0" right="0" top="0" bottom="0" header="0" footer="0"/>
  <pageSetup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6D1A1-D6AA-4629-875F-79D534DF9C7C}">
  <dimension ref="R12:T14"/>
  <sheetViews>
    <sheetView showOutlineSymbols="0" zoomScale="90" zoomScaleNormal="90" workbookViewId="0">
      <selection activeCell="M22" sqref="M22"/>
    </sheetView>
  </sheetViews>
  <sheetFormatPr defaultRowHeight="12.75" x14ac:dyDescent="0.2"/>
  <cols>
    <col min="1" max="1" width="3.85546875" customWidth="1"/>
    <col min="18" max="18" width="14.5703125" bestFit="1" customWidth="1"/>
    <col min="19" max="19" width="12.85546875" bestFit="1" customWidth="1"/>
    <col min="20" max="20" width="15" bestFit="1" customWidth="1"/>
  </cols>
  <sheetData>
    <row r="12" spans="18:20" x14ac:dyDescent="0.2">
      <c r="T12" s="27"/>
    </row>
    <row r="14" spans="18:20" x14ac:dyDescent="0.2">
      <c r="R14" s="27"/>
    </row>
  </sheetData>
  <printOptions horizontalCentered="1" verticalCentered="1"/>
  <pageMargins left="0" right="0" top="0" bottom="0" header="0.3" footer="0.3"/>
  <pageSetup scale="83"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C3BDE-BBDE-4A79-9028-E8BC4C09DA8E}">
  <sheetPr>
    <pageSetUpPr fitToPage="1"/>
  </sheetPr>
  <dimension ref="S6"/>
  <sheetViews>
    <sheetView showOutlineSymbols="0" zoomScaleNormal="100" workbookViewId="0">
      <selection activeCell="M22" sqref="M22"/>
    </sheetView>
  </sheetViews>
  <sheetFormatPr defaultRowHeight="12.75" x14ac:dyDescent="0.2"/>
  <cols>
    <col min="19" max="19" width="16.28515625" bestFit="1" customWidth="1"/>
  </cols>
  <sheetData>
    <row r="6" spans="19:19" x14ac:dyDescent="0.2">
      <c r="S6" s="27"/>
    </row>
  </sheetData>
  <pageMargins left="0.7" right="0.7" top="0.75" bottom="0.75" header="0.3" footer="0.3"/>
  <pageSetup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CBFB9-6CAC-41D9-BB66-4C1011586701}">
  <sheetPr>
    <pageSetUpPr fitToPage="1"/>
  </sheetPr>
  <dimension ref="T10"/>
  <sheetViews>
    <sheetView showOutlineSymbols="0" topLeftCell="C1" zoomScale="90" zoomScaleNormal="90" workbookViewId="0">
      <selection activeCell="M22" sqref="M22"/>
    </sheetView>
  </sheetViews>
  <sheetFormatPr defaultRowHeight="12.75" x14ac:dyDescent="0.2"/>
  <cols>
    <col min="20" max="20" width="16.140625" bestFit="1" customWidth="1"/>
  </cols>
  <sheetData>
    <row r="10" spans="20:20" x14ac:dyDescent="0.2">
      <c r="T10" s="27"/>
    </row>
  </sheetData>
  <pageMargins left="0.7" right="0.7" top="0.75" bottom="0.75" header="0.3" footer="0.3"/>
  <pageSetup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G69"/>
  <sheetViews>
    <sheetView showOutlineSymbols="0" workbookViewId="0"/>
  </sheetViews>
  <sheetFormatPr defaultRowHeight="12.75" x14ac:dyDescent="0.2"/>
  <cols>
    <col min="1" max="1" width="24.140625" customWidth="1"/>
    <col min="2" max="2" width="13.28515625" customWidth="1"/>
    <col min="3" max="3" width="12" customWidth="1"/>
    <col min="4" max="4" width="9.28515625" bestFit="1" customWidth="1"/>
    <col min="5" max="5" width="12.140625" customWidth="1"/>
    <col min="6" max="6" width="14.28515625" customWidth="1"/>
    <col min="7" max="7" width="11.28515625" customWidth="1"/>
  </cols>
  <sheetData>
    <row r="4" spans="1:7" x14ac:dyDescent="0.2">
      <c r="C4" t="e">
        <f>#REF!</f>
        <v>#REF!</v>
      </c>
      <c r="D4" t="e">
        <f>#REF!</f>
        <v>#REF!</v>
      </c>
      <c r="E4" t="s">
        <v>38</v>
      </c>
      <c r="F4" t="e">
        <f>#REF!</f>
        <v>#REF!</v>
      </c>
    </row>
    <row r="5" spans="1:7" x14ac:dyDescent="0.2">
      <c r="C5" t="e">
        <f>#REF!</f>
        <v>#REF!</v>
      </c>
      <c r="D5" t="e">
        <f>#REF!</f>
        <v>#REF!</v>
      </c>
      <c r="E5" t="s">
        <v>39</v>
      </c>
      <c r="F5" t="e">
        <f>#REF!</f>
        <v>#REF!</v>
      </c>
    </row>
    <row r="6" spans="1:7" x14ac:dyDescent="0.2">
      <c r="C6" t="e">
        <f>#REF!</f>
        <v>#REF!</v>
      </c>
      <c r="D6" t="e">
        <f>#REF!</f>
        <v>#REF!</v>
      </c>
    </row>
    <row r="7" spans="1:7" x14ac:dyDescent="0.2">
      <c r="A7" t="e">
        <f>#REF!</f>
        <v>#REF!</v>
      </c>
      <c r="B7">
        <v>400</v>
      </c>
      <c r="C7">
        <v>401</v>
      </c>
      <c r="D7">
        <v>402</v>
      </c>
      <c r="E7">
        <v>403</v>
      </c>
      <c r="F7">
        <v>404</v>
      </c>
    </row>
    <row r="9" spans="1:7" x14ac:dyDescent="0.2">
      <c r="B9" s="6"/>
      <c r="C9" s="6"/>
      <c r="D9" s="6"/>
      <c r="E9" s="6"/>
      <c r="F9" s="6"/>
      <c r="G9" s="6"/>
    </row>
    <row r="10" spans="1:7" x14ac:dyDescent="0.2">
      <c r="A10" t="e">
        <f>#REF!</f>
        <v>#REF!</v>
      </c>
      <c r="B10" s="6" t="e">
        <f>+#REF!</f>
        <v>#REF!</v>
      </c>
      <c r="C10" s="6" t="e">
        <f>#REF!</f>
        <v>#REF!</v>
      </c>
      <c r="D10" s="6" t="e">
        <f>#REF!</f>
        <v>#REF!</v>
      </c>
      <c r="E10" s="6" t="e">
        <f>+#REF!+#REF!</f>
        <v>#REF!</v>
      </c>
      <c r="F10" s="6" t="e">
        <f>+#REF!</f>
        <v>#REF!</v>
      </c>
      <c r="G10" s="6"/>
    </row>
    <row r="11" spans="1:7" x14ac:dyDescent="0.2">
      <c r="A11" t="e">
        <f>#REF!</f>
        <v>#REF!</v>
      </c>
      <c r="B11" s="6" t="e">
        <f>+#REF!</f>
        <v>#REF!</v>
      </c>
      <c r="C11" s="6" t="e">
        <f>#REF!</f>
        <v>#REF!</v>
      </c>
      <c r="D11" s="6" t="e">
        <f>#REF!</f>
        <v>#REF!</v>
      </c>
      <c r="E11" s="6" t="e">
        <f>+#REF!+#REF!</f>
        <v>#REF!</v>
      </c>
      <c r="F11" s="6" t="e">
        <f>+#REF!</f>
        <v>#REF!</v>
      </c>
      <c r="G11" s="6"/>
    </row>
    <row r="12" spans="1:7" x14ac:dyDescent="0.2">
      <c r="A12" t="e">
        <f>#REF!</f>
        <v>#REF!</v>
      </c>
      <c r="B12" s="6" t="e">
        <f>+#REF!</f>
        <v>#REF!</v>
      </c>
      <c r="C12" s="6" t="e">
        <f>#REF!</f>
        <v>#REF!</v>
      </c>
      <c r="D12" s="6" t="e">
        <f>#REF!</f>
        <v>#REF!</v>
      </c>
      <c r="E12" s="6" t="e">
        <f>+#REF!+#REF!</f>
        <v>#REF!</v>
      </c>
      <c r="F12" s="6" t="e">
        <f>+#REF!</f>
        <v>#REF!</v>
      </c>
      <c r="G12" s="6"/>
    </row>
    <row r="13" spans="1:7" x14ac:dyDescent="0.2">
      <c r="A13" t="e">
        <f>#REF!</f>
        <v>#REF!</v>
      </c>
      <c r="B13" s="6" t="e">
        <f>+#REF!</f>
        <v>#REF!</v>
      </c>
      <c r="C13" s="6" t="e">
        <f>#REF!</f>
        <v>#REF!</v>
      </c>
      <c r="D13" s="6" t="e">
        <f>#REF!</f>
        <v>#REF!</v>
      </c>
      <c r="E13" s="6" t="e">
        <f>+#REF!+#REF!</f>
        <v>#REF!</v>
      </c>
      <c r="F13" s="6" t="e">
        <f>+#REF!</f>
        <v>#REF!</v>
      </c>
      <c r="G13" s="6"/>
    </row>
    <row r="14" spans="1:7" x14ac:dyDescent="0.2">
      <c r="A14" t="e">
        <f>#REF!</f>
        <v>#REF!</v>
      </c>
      <c r="B14" s="6" t="e">
        <f>+#REF!</f>
        <v>#REF!</v>
      </c>
      <c r="C14" s="6" t="e">
        <f>#REF!</f>
        <v>#REF!</v>
      </c>
      <c r="D14" s="6" t="e">
        <f>#REF!</f>
        <v>#REF!</v>
      </c>
      <c r="E14" s="6" t="e">
        <f>+#REF!+#REF!</f>
        <v>#REF!</v>
      </c>
      <c r="F14" s="6" t="e">
        <f>+#REF!</f>
        <v>#REF!</v>
      </c>
      <c r="G14" s="6"/>
    </row>
    <row r="15" spans="1:7" x14ac:dyDescent="0.2">
      <c r="A15" t="e">
        <f>#REF!</f>
        <v>#REF!</v>
      </c>
      <c r="B15" s="6" t="e">
        <f>+#REF!</f>
        <v>#REF!</v>
      </c>
      <c r="C15" s="6" t="e">
        <f>#REF!</f>
        <v>#REF!</v>
      </c>
      <c r="D15" s="6" t="e">
        <f>#REF!</f>
        <v>#REF!</v>
      </c>
      <c r="E15" s="6" t="e">
        <f>+#REF!+#REF!</f>
        <v>#REF!</v>
      </c>
      <c r="F15" s="6" t="e">
        <f>+#REF!</f>
        <v>#REF!</v>
      </c>
      <c r="G15" s="6"/>
    </row>
    <row r="16" spans="1:7" x14ac:dyDescent="0.2">
      <c r="A16" t="e">
        <f>#REF!</f>
        <v>#REF!</v>
      </c>
      <c r="B16" s="6" t="e">
        <f>+#REF!</f>
        <v>#REF!</v>
      </c>
      <c r="C16" s="6" t="e">
        <f>#REF!</f>
        <v>#REF!</v>
      </c>
      <c r="D16" s="6" t="e">
        <f>#REF!</f>
        <v>#REF!</v>
      </c>
      <c r="E16" s="6" t="e">
        <f>+#REF!+#REF!</f>
        <v>#REF!</v>
      </c>
      <c r="F16" s="6" t="e">
        <f>+#REF!</f>
        <v>#REF!</v>
      </c>
      <c r="G16" s="6"/>
    </row>
    <row r="17" spans="1:7" x14ac:dyDescent="0.2">
      <c r="A17" t="e">
        <f>#REF!</f>
        <v>#REF!</v>
      </c>
      <c r="B17" s="6" t="e">
        <f>+#REF!</f>
        <v>#REF!</v>
      </c>
      <c r="C17" s="6" t="e">
        <f>#REF!</f>
        <v>#REF!</v>
      </c>
      <c r="D17" s="6" t="e">
        <f>#REF!</f>
        <v>#REF!</v>
      </c>
      <c r="E17" s="6" t="e">
        <f>+#REF!+#REF!</f>
        <v>#REF!</v>
      </c>
      <c r="F17" s="6" t="e">
        <f>+#REF!</f>
        <v>#REF!</v>
      </c>
      <c r="G17" s="6"/>
    </row>
    <row r="18" spans="1:7" x14ac:dyDescent="0.2">
      <c r="A18" t="e">
        <f>#REF!</f>
        <v>#REF!</v>
      </c>
      <c r="B18" s="6" t="e">
        <f>+#REF!</f>
        <v>#REF!</v>
      </c>
      <c r="C18" s="6" t="e">
        <f>#REF!</f>
        <v>#REF!</v>
      </c>
      <c r="D18" s="6" t="e">
        <f>#REF!</f>
        <v>#REF!</v>
      </c>
      <c r="E18" s="6" t="e">
        <f>+#REF!+#REF!</f>
        <v>#REF!</v>
      </c>
      <c r="F18" s="6" t="e">
        <f>+#REF!</f>
        <v>#REF!</v>
      </c>
      <c r="G18" s="6"/>
    </row>
    <row r="19" spans="1:7" x14ac:dyDescent="0.2">
      <c r="A19" t="e">
        <f>#REF!</f>
        <v>#REF!</v>
      </c>
      <c r="B19" s="6" t="e">
        <f>+#REF!</f>
        <v>#REF!</v>
      </c>
      <c r="C19" s="6" t="e">
        <f>#REF!</f>
        <v>#REF!</v>
      </c>
      <c r="D19" s="6" t="e">
        <f>#REF!</f>
        <v>#REF!</v>
      </c>
      <c r="E19" s="6" t="e">
        <f>+#REF!+#REF!</f>
        <v>#REF!</v>
      </c>
      <c r="F19" s="6" t="e">
        <f>+#REF!</f>
        <v>#REF!</v>
      </c>
      <c r="G19" s="6"/>
    </row>
    <row r="20" spans="1:7" x14ac:dyDescent="0.2">
      <c r="A20" t="e">
        <f>#REF!</f>
        <v>#REF!</v>
      </c>
      <c r="B20" s="6" t="e">
        <f>+#REF!</f>
        <v>#REF!</v>
      </c>
      <c r="C20" s="6" t="e">
        <f>#REF!</f>
        <v>#REF!</v>
      </c>
      <c r="D20" s="6" t="e">
        <f>#REF!</f>
        <v>#REF!</v>
      </c>
      <c r="E20" s="6" t="e">
        <f>+#REF!+#REF!</f>
        <v>#REF!</v>
      </c>
      <c r="F20" s="6" t="e">
        <f>+#REF!</f>
        <v>#REF!</v>
      </c>
      <c r="G20" s="6"/>
    </row>
    <row r="21" spans="1:7" x14ac:dyDescent="0.2">
      <c r="A21" t="e">
        <f>#REF!</f>
        <v>#REF!</v>
      </c>
      <c r="B21" s="6" t="e">
        <f>+#REF!</f>
        <v>#REF!</v>
      </c>
      <c r="C21" s="6" t="e">
        <f>#REF!</f>
        <v>#REF!</v>
      </c>
      <c r="D21" s="6" t="e">
        <f>#REF!</f>
        <v>#REF!</v>
      </c>
      <c r="E21" s="6" t="e">
        <f>+#REF!+#REF!</f>
        <v>#REF!</v>
      </c>
      <c r="F21" s="6" t="e">
        <f>+#REF!</f>
        <v>#REF!</v>
      </c>
      <c r="G21" s="6"/>
    </row>
    <row r="22" spans="1:7" x14ac:dyDescent="0.2">
      <c r="A22" t="e">
        <f>#REF!</f>
        <v>#REF!</v>
      </c>
      <c r="B22" s="6" t="e">
        <f>+#REF!</f>
        <v>#REF!</v>
      </c>
      <c r="C22" s="6" t="e">
        <f>#REF!</f>
        <v>#REF!</v>
      </c>
      <c r="D22" s="6" t="e">
        <f>#REF!</f>
        <v>#REF!</v>
      </c>
      <c r="E22" s="6" t="e">
        <f>+#REF!+#REF!</f>
        <v>#REF!</v>
      </c>
      <c r="F22" s="6" t="e">
        <f>+#REF!</f>
        <v>#REF!</v>
      </c>
      <c r="G22" s="6"/>
    </row>
    <row r="23" spans="1:7" x14ac:dyDescent="0.2">
      <c r="A23" t="e">
        <f>#REF!</f>
        <v>#REF!</v>
      </c>
      <c r="B23" s="6" t="e">
        <f>+#REF!</f>
        <v>#REF!</v>
      </c>
      <c r="C23" s="6" t="e">
        <f>#REF!</f>
        <v>#REF!</v>
      </c>
      <c r="D23" s="6" t="e">
        <f>#REF!</f>
        <v>#REF!</v>
      </c>
      <c r="E23" s="6" t="e">
        <f>+#REF!+#REF!</f>
        <v>#REF!</v>
      </c>
      <c r="F23" s="6" t="e">
        <f>+#REF!</f>
        <v>#REF!</v>
      </c>
      <c r="G23" s="6"/>
    </row>
    <row r="24" spans="1:7" x14ac:dyDescent="0.2">
      <c r="A24" t="e">
        <f>#REF!</f>
        <v>#REF!</v>
      </c>
      <c r="B24" s="6" t="e">
        <f>+#REF!</f>
        <v>#REF!</v>
      </c>
      <c r="C24" s="6" t="e">
        <f>#REF!</f>
        <v>#REF!</v>
      </c>
      <c r="D24" s="6" t="e">
        <f>#REF!</f>
        <v>#REF!</v>
      </c>
      <c r="E24" s="6" t="e">
        <f>+#REF!+#REF!</f>
        <v>#REF!</v>
      </c>
      <c r="F24" s="6" t="e">
        <f>+#REF!</f>
        <v>#REF!</v>
      </c>
      <c r="G24" s="6"/>
    </row>
    <row r="25" spans="1:7" x14ac:dyDescent="0.2">
      <c r="A25" t="e">
        <f>#REF!</f>
        <v>#REF!</v>
      </c>
      <c r="B25" s="6" t="e">
        <f>+#REF!</f>
        <v>#REF!</v>
      </c>
      <c r="C25" s="6" t="e">
        <f>#REF!</f>
        <v>#REF!</v>
      </c>
      <c r="D25" s="6" t="e">
        <f>#REF!</f>
        <v>#REF!</v>
      </c>
      <c r="E25" s="6" t="e">
        <f>+#REF!+#REF!</f>
        <v>#REF!</v>
      </c>
      <c r="F25" s="6" t="e">
        <f>+#REF!</f>
        <v>#REF!</v>
      </c>
      <c r="G25" s="6"/>
    </row>
    <row r="26" spans="1:7" x14ac:dyDescent="0.2">
      <c r="A26" t="e">
        <f>#REF!</f>
        <v>#REF!</v>
      </c>
      <c r="B26" s="6" t="e">
        <f>+#REF!</f>
        <v>#REF!</v>
      </c>
      <c r="C26" s="6" t="e">
        <f>#REF!</f>
        <v>#REF!</v>
      </c>
      <c r="D26" s="6" t="e">
        <f>#REF!</f>
        <v>#REF!</v>
      </c>
      <c r="E26" s="6" t="e">
        <f>+#REF!+#REF!</f>
        <v>#REF!</v>
      </c>
      <c r="F26" s="6" t="e">
        <f>+#REF!</f>
        <v>#REF!</v>
      </c>
      <c r="G26" s="6"/>
    </row>
    <row r="27" spans="1:7" x14ac:dyDescent="0.2">
      <c r="A27" t="e">
        <f>#REF!</f>
        <v>#REF!</v>
      </c>
      <c r="B27" s="6" t="e">
        <f>+#REF!</f>
        <v>#REF!</v>
      </c>
      <c r="C27" s="6" t="e">
        <f>#REF!</f>
        <v>#REF!</v>
      </c>
      <c r="D27" s="6" t="e">
        <f>#REF!</f>
        <v>#REF!</v>
      </c>
      <c r="E27" s="6" t="e">
        <f>+#REF!+#REF!</f>
        <v>#REF!</v>
      </c>
      <c r="F27" s="6" t="e">
        <f>+#REF!</f>
        <v>#REF!</v>
      </c>
      <c r="G27" s="6"/>
    </row>
    <row r="28" spans="1:7" x14ac:dyDescent="0.2">
      <c r="A28" t="e">
        <f>#REF!</f>
        <v>#REF!</v>
      </c>
      <c r="B28" s="6" t="e">
        <f>+#REF!</f>
        <v>#REF!</v>
      </c>
      <c r="C28" s="6" t="e">
        <f>#REF!</f>
        <v>#REF!</v>
      </c>
      <c r="D28" s="6" t="e">
        <f>#REF!</f>
        <v>#REF!</v>
      </c>
      <c r="E28" s="6" t="e">
        <f>+#REF!+#REF!</f>
        <v>#REF!</v>
      </c>
      <c r="F28" s="6" t="e">
        <f>+#REF!</f>
        <v>#REF!</v>
      </c>
      <c r="G28" s="6"/>
    </row>
    <row r="29" spans="1:7" x14ac:dyDescent="0.2">
      <c r="A29" t="e">
        <f>#REF!</f>
        <v>#REF!</v>
      </c>
      <c r="B29" s="6" t="e">
        <f>+#REF!</f>
        <v>#REF!</v>
      </c>
      <c r="C29" s="6" t="e">
        <f>#REF!</f>
        <v>#REF!</v>
      </c>
      <c r="D29" s="6" t="e">
        <f>#REF!</f>
        <v>#REF!</v>
      </c>
      <c r="E29" s="6" t="e">
        <f>+#REF!+#REF!</f>
        <v>#REF!</v>
      </c>
      <c r="F29" s="6" t="e">
        <f>+#REF!</f>
        <v>#REF!</v>
      </c>
      <c r="G29" s="6"/>
    </row>
    <row r="30" spans="1:7" x14ac:dyDescent="0.2">
      <c r="A30" t="e">
        <f>#REF!</f>
        <v>#REF!</v>
      </c>
      <c r="B30" s="6" t="e">
        <f>+#REF!</f>
        <v>#REF!</v>
      </c>
      <c r="C30" s="6" t="e">
        <f>#REF!</f>
        <v>#REF!</v>
      </c>
      <c r="D30" s="6" t="e">
        <f>#REF!</f>
        <v>#REF!</v>
      </c>
      <c r="E30" s="6" t="e">
        <f>+#REF!+#REF!</f>
        <v>#REF!</v>
      </c>
      <c r="F30" s="6" t="e">
        <f>+#REF!</f>
        <v>#REF!</v>
      </c>
      <c r="G30" s="6"/>
    </row>
    <row r="31" spans="1:7" x14ac:dyDescent="0.2">
      <c r="A31" t="e">
        <f>#REF!</f>
        <v>#REF!</v>
      </c>
      <c r="B31" s="6" t="e">
        <f>+#REF!</f>
        <v>#REF!</v>
      </c>
      <c r="C31" s="6" t="e">
        <f>#REF!</f>
        <v>#REF!</v>
      </c>
      <c r="D31" s="6" t="e">
        <f>#REF!</f>
        <v>#REF!</v>
      </c>
      <c r="E31" s="6" t="e">
        <f>+#REF!+#REF!</f>
        <v>#REF!</v>
      </c>
      <c r="F31" s="6" t="e">
        <f>+#REF!</f>
        <v>#REF!</v>
      </c>
      <c r="G31" s="6"/>
    </row>
    <row r="32" spans="1:7" x14ac:dyDescent="0.2">
      <c r="A32" t="e">
        <f>#REF!</f>
        <v>#REF!</v>
      </c>
      <c r="B32" s="6" t="e">
        <f>+#REF!</f>
        <v>#REF!</v>
      </c>
      <c r="C32" s="6" t="e">
        <f>#REF!</f>
        <v>#REF!</v>
      </c>
      <c r="D32" s="6" t="e">
        <f>#REF!</f>
        <v>#REF!</v>
      </c>
      <c r="E32" s="6" t="e">
        <f>+#REF!+#REF!</f>
        <v>#REF!</v>
      </c>
      <c r="F32" s="6" t="e">
        <f>+#REF!</f>
        <v>#REF!</v>
      </c>
      <c r="G32" s="6"/>
    </row>
    <row r="33" spans="1:7" x14ac:dyDescent="0.2">
      <c r="A33" t="e">
        <f>#REF!</f>
        <v>#REF!</v>
      </c>
      <c r="B33" s="6" t="e">
        <f>+#REF!</f>
        <v>#REF!</v>
      </c>
      <c r="C33" s="6" t="e">
        <f>#REF!</f>
        <v>#REF!</v>
      </c>
      <c r="D33" s="6" t="e">
        <f>#REF!</f>
        <v>#REF!</v>
      </c>
      <c r="E33" s="6" t="e">
        <f>+#REF!+#REF!</f>
        <v>#REF!</v>
      </c>
      <c r="F33" s="6" t="e">
        <f>+#REF!</f>
        <v>#REF!</v>
      </c>
      <c r="G33" s="6"/>
    </row>
    <row r="34" spans="1:7" x14ac:dyDescent="0.2">
      <c r="A34" t="e">
        <f>#REF!</f>
        <v>#REF!</v>
      </c>
      <c r="B34" s="6" t="e">
        <f>+#REF!</f>
        <v>#REF!</v>
      </c>
      <c r="C34" s="6" t="e">
        <f>#REF!</f>
        <v>#REF!</v>
      </c>
      <c r="D34" s="6" t="e">
        <f>#REF!</f>
        <v>#REF!</v>
      </c>
      <c r="E34" s="6" t="e">
        <f>+#REF!+#REF!</f>
        <v>#REF!</v>
      </c>
      <c r="F34" s="6" t="e">
        <f>+#REF!</f>
        <v>#REF!</v>
      </c>
      <c r="G34" s="6"/>
    </row>
    <row r="35" spans="1:7" x14ac:dyDescent="0.2">
      <c r="A35" t="e">
        <f>#REF!</f>
        <v>#REF!</v>
      </c>
      <c r="B35" s="6" t="e">
        <f>+#REF!</f>
        <v>#REF!</v>
      </c>
      <c r="C35" s="6" t="e">
        <f>#REF!</f>
        <v>#REF!</v>
      </c>
      <c r="D35" s="6" t="e">
        <f>#REF!</f>
        <v>#REF!</v>
      </c>
      <c r="E35" s="6" t="e">
        <f>+#REF!+#REF!</f>
        <v>#REF!</v>
      </c>
      <c r="F35" s="6" t="e">
        <f>+#REF!</f>
        <v>#REF!</v>
      </c>
      <c r="G35" s="6"/>
    </row>
    <row r="36" spans="1:7" x14ac:dyDescent="0.2">
      <c r="A36" t="e">
        <f>#REF!</f>
        <v>#REF!</v>
      </c>
      <c r="B36" s="6" t="e">
        <f>+#REF!</f>
        <v>#REF!</v>
      </c>
      <c r="C36" s="6" t="e">
        <f>#REF!</f>
        <v>#REF!</v>
      </c>
      <c r="D36" s="6" t="e">
        <f>#REF!</f>
        <v>#REF!</v>
      </c>
      <c r="E36" s="6" t="e">
        <f>+#REF!+#REF!</f>
        <v>#REF!</v>
      </c>
      <c r="F36" s="6" t="e">
        <f>+#REF!</f>
        <v>#REF!</v>
      </c>
      <c r="G36" s="6"/>
    </row>
    <row r="37" spans="1:7" x14ac:dyDescent="0.2">
      <c r="A37" t="e">
        <f>#REF!</f>
        <v>#REF!</v>
      </c>
      <c r="B37" s="6" t="e">
        <f>+#REF!</f>
        <v>#REF!</v>
      </c>
      <c r="C37" s="6" t="e">
        <f>#REF!</f>
        <v>#REF!</v>
      </c>
      <c r="D37" s="6" t="e">
        <f>#REF!</f>
        <v>#REF!</v>
      </c>
      <c r="E37" s="6" t="e">
        <f>+#REF!+#REF!</f>
        <v>#REF!</v>
      </c>
      <c r="F37" s="6" t="e">
        <f>+#REF!</f>
        <v>#REF!</v>
      </c>
      <c r="G37" s="6"/>
    </row>
    <row r="38" spans="1:7" x14ac:dyDescent="0.2">
      <c r="A38" t="e">
        <f>#REF!</f>
        <v>#REF!</v>
      </c>
      <c r="B38" s="6" t="e">
        <f>+#REF!</f>
        <v>#REF!</v>
      </c>
      <c r="C38" s="6" t="e">
        <f>#REF!</f>
        <v>#REF!</v>
      </c>
      <c r="D38" s="6" t="e">
        <f>#REF!</f>
        <v>#REF!</v>
      </c>
      <c r="E38" s="6" t="e">
        <f>+#REF!+#REF!</f>
        <v>#REF!</v>
      </c>
      <c r="F38" s="6" t="e">
        <f>+#REF!</f>
        <v>#REF!</v>
      </c>
      <c r="G38" s="6"/>
    </row>
    <row r="39" spans="1:7" x14ac:dyDescent="0.2">
      <c r="A39" t="e">
        <f>#REF!</f>
        <v>#REF!</v>
      </c>
      <c r="B39" s="6" t="e">
        <f>+#REF!</f>
        <v>#REF!</v>
      </c>
      <c r="C39" s="6" t="e">
        <f>#REF!</f>
        <v>#REF!</v>
      </c>
      <c r="D39" s="6" t="e">
        <f>#REF!</f>
        <v>#REF!</v>
      </c>
      <c r="E39" s="6" t="e">
        <f>+#REF!+#REF!</f>
        <v>#REF!</v>
      </c>
      <c r="F39" s="6" t="e">
        <f>+#REF!</f>
        <v>#REF!</v>
      </c>
      <c r="G39" s="6"/>
    </row>
    <row r="40" spans="1:7" x14ac:dyDescent="0.2">
      <c r="A40" t="e">
        <f>#REF!</f>
        <v>#REF!</v>
      </c>
      <c r="B40" s="6" t="e">
        <f>+#REF!</f>
        <v>#REF!</v>
      </c>
      <c r="C40" s="6" t="e">
        <f>#REF!</f>
        <v>#REF!</v>
      </c>
      <c r="D40" s="6" t="e">
        <f>#REF!</f>
        <v>#REF!</v>
      </c>
      <c r="E40" s="6" t="e">
        <f>+#REF!+#REF!</f>
        <v>#REF!</v>
      </c>
      <c r="F40" s="6" t="e">
        <f>+#REF!</f>
        <v>#REF!</v>
      </c>
      <c r="G40" s="6"/>
    </row>
    <row r="41" spans="1:7" x14ac:dyDescent="0.2">
      <c r="A41" t="e">
        <f>#REF!</f>
        <v>#REF!</v>
      </c>
      <c r="B41" s="6" t="e">
        <f>+#REF!</f>
        <v>#REF!</v>
      </c>
      <c r="C41" s="6" t="e">
        <f>#REF!</f>
        <v>#REF!</v>
      </c>
      <c r="D41" s="6" t="e">
        <f>#REF!</f>
        <v>#REF!</v>
      </c>
      <c r="E41" s="6" t="e">
        <f>+#REF!+#REF!</f>
        <v>#REF!</v>
      </c>
      <c r="F41" s="6" t="e">
        <f>+#REF!</f>
        <v>#REF!</v>
      </c>
      <c r="G41" s="6"/>
    </row>
    <row r="42" spans="1:7" x14ac:dyDescent="0.2">
      <c r="A42" t="e">
        <f>#REF!</f>
        <v>#REF!</v>
      </c>
      <c r="B42" s="6" t="e">
        <f>+#REF!</f>
        <v>#REF!</v>
      </c>
      <c r="C42" s="6" t="e">
        <f>#REF!</f>
        <v>#REF!</v>
      </c>
      <c r="D42" s="6" t="e">
        <f>#REF!</f>
        <v>#REF!</v>
      </c>
      <c r="E42" s="6" t="e">
        <f>+#REF!+#REF!</f>
        <v>#REF!</v>
      </c>
      <c r="F42" s="6" t="e">
        <f>+#REF!</f>
        <v>#REF!</v>
      </c>
      <c r="G42" s="6"/>
    </row>
    <row r="43" spans="1:7" x14ac:dyDescent="0.2">
      <c r="A43" t="e">
        <f>#REF!</f>
        <v>#REF!</v>
      </c>
      <c r="B43" s="6" t="e">
        <f>+#REF!</f>
        <v>#REF!</v>
      </c>
      <c r="C43" s="6" t="e">
        <f>#REF!</f>
        <v>#REF!</v>
      </c>
      <c r="D43" s="6" t="e">
        <f>#REF!</f>
        <v>#REF!</v>
      </c>
      <c r="E43" s="6" t="e">
        <f>+#REF!+#REF!</f>
        <v>#REF!</v>
      </c>
      <c r="F43" s="6" t="e">
        <f>+#REF!</f>
        <v>#REF!</v>
      </c>
      <c r="G43" s="6"/>
    </row>
    <row r="44" spans="1:7" x14ac:dyDescent="0.2">
      <c r="A44" t="e">
        <f>#REF!</f>
        <v>#REF!</v>
      </c>
      <c r="B44" s="6" t="e">
        <f>+#REF!</f>
        <v>#REF!</v>
      </c>
      <c r="C44" s="6" t="e">
        <f>#REF!</f>
        <v>#REF!</v>
      </c>
      <c r="D44" s="6" t="e">
        <f>#REF!</f>
        <v>#REF!</v>
      </c>
      <c r="E44" s="6" t="e">
        <f>+#REF!+#REF!</f>
        <v>#REF!</v>
      </c>
      <c r="F44" s="6" t="e">
        <f>+#REF!</f>
        <v>#REF!</v>
      </c>
      <c r="G44" s="6"/>
    </row>
    <row r="45" spans="1:7" x14ac:dyDescent="0.2">
      <c r="A45" t="e">
        <f>#REF!</f>
        <v>#REF!</v>
      </c>
      <c r="B45" s="6" t="e">
        <f>+#REF!</f>
        <v>#REF!</v>
      </c>
      <c r="C45" s="6" t="e">
        <f>#REF!</f>
        <v>#REF!</v>
      </c>
      <c r="D45" s="6" t="e">
        <f>#REF!</f>
        <v>#REF!</v>
      </c>
      <c r="E45" s="6" t="e">
        <f>+#REF!+#REF!</f>
        <v>#REF!</v>
      </c>
      <c r="F45" s="6" t="e">
        <f>+#REF!</f>
        <v>#REF!</v>
      </c>
      <c r="G45" s="6"/>
    </row>
    <row r="46" spans="1:7" x14ac:dyDescent="0.2">
      <c r="A46" t="e">
        <f>#REF!</f>
        <v>#REF!</v>
      </c>
      <c r="B46" s="6" t="e">
        <f>+#REF!</f>
        <v>#REF!</v>
      </c>
      <c r="C46" s="6" t="e">
        <f>#REF!</f>
        <v>#REF!</v>
      </c>
      <c r="D46" s="6" t="e">
        <f>#REF!</f>
        <v>#REF!</v>
      </c>
      <c r="E46" s="6" t="e">
        <f>+#REF!+#REF!</f>
        <v>#REF!</v>
      </c>
      <c r="F46" s="6" t="e">
        <f>+#REF!</f>
        <v>#REF!</v>
      </c>
      <c r="G46" s="6"/>
    </row>
    <row r="47" spans="1:7" x14ac:dyDescent="0.2">
      <c r="A47" t="e">
        <f>#REF!</f>
        <v>#REF!</v>
      </c>
      <c r="B47" s="6" t="e">
        <f>+#REF!</f>
        <v>#REF!</v>
      </c>
      <c r="C47" s="6" t="e">
        <f>#REF!</f>
        <v>#REF!</v>
      </c>
      <c r="D47" s="6" t="e">
        <f>#REF!</f>
        <v>#REF!</v>
      </c>
      <c r="E47" s="6" t="e">
        <f>+#REF!+#REF!</f>
        <v>#REF!</v>
      </c>
      <c r="F47" s="6" t="e">
        <f>+#REF!</f>
        <v>#REF!</v>
      </c>
      <c r="G47" s="6"/>
    </row>
    <row r="48" spans="1:7" x14ac:dyDescent="0.2">
      <c r="A48" t="e">
        <f>#REF!</f>
        <v>#REF!</v>
      </c>
      <c r="B48" s="6" t="e">
        <f>+#REF!</f>
        <v>#REF!</v>
      </c>
      <c r="C48" s="6" t="e">
        <f>#REF!</f>
        <v>#REF!</v>
      </c>
      <c r="D48" s="6" t="e">
        <f>#REF!</f>
        <v>#REF!</v>
      </c>
      <c r="E48" s="6" t="e">
        <f>+#REF!+#REF!</f>
        <v>#REF!</v>
      </c>
      <c r="F48" s="6" t="e">
        <f>+#REF!</f>
        <v>#REF!</v>
      </c>
      <c r="G48" s="6"/>
    </row>
    <row r="49" spans="1:7" x14ac:dyDescent="0.2">
      <c r="A49" t="e">
        <f>#REF!</f>
        <v>#REF!</v>
      </c>
      <c r="B49" s="6" t="e">
        <f>+#REF!</f>
        <v>#REF!</v>
      </c>
      <c r="C49" s="6" t="e">
        <f>#REF!</f>
        <v>#REF!</v>
      </c>
      <c r="D49" s="6" t="e">
        <f>#REF!</f>
        <v>#REF!</v>
      </c>
      <c r="E49" s="6" t="e">
        <f>+#REF!+#REF!</f>
        <v>#REF!</v>
      </c>
      <c r="F49" s="6" t="e">
        <f>+#REF!</f>
        <v>#REF!</v>
      </c>
      <c r="G49" s="6"/>
    </row>
    <row r="50" spans="1:7" x14ac:dyDescent="0.2">
      <c r="A50" t="e">
        <f>#REF!</f>
        <v>#REF!</v>
      </c>
      <c r="B50" s="6" t="e">
        <f>+#REF!</f>
        <v>#REF!</v>
      </c>
      <c r="C50" s="6" t="e">
        <f>#REF!</f>
        <v>#REF!</v>
      </c>
      <c r="D50" s="6" t="e">
        <f>#REF!</f>
        <v>#REF!</v>
      </c>
      <c r="E50" s="6" t="e">
        <f>+#REF!+#REF!</f>
        <v>#REF!</v>
      </c>
      <c r="F50" s="6" t="e">
        <f>+#REF!</f>
        <v>#REF!</v>
      </c>
      <c r="G50" s="6"/>
    </row>
    <row r="51" spans="1:7" x14ac:dyDescent="0.2">
      <c r="A51" t="e">
        <f>#REF!</f>
        <v>#REF!</v>
      </c>
      <c r="B51" s="6" t="e">
        <f>+#REF!</f>
        <v>#REF!</v>
      </c>
      <c r="C51" s="6" t="e">
        <f>#REF!</f>
        <v>#REF!</v>
      </c>
      <c r="D51" s="6" t="e">
        <f>#REF!</f>
        <v>#REF!</v>
      </c>
      <c r="E51" s="6" t="e">
        <f>+#REF!+#REF!</f>
        <v>#REF!</v>
      </c>
      <c r="F51" s="6" t="e">
        <f>+#REF!</f>
        <v>#REF!</v>
      </c>
      <c r="G51" s="6"/>
    </row>
    <row r="52" spans="1:7" x14ac:dyDescent="0.2">
      <c r="A52" t="e">
        <f>#REF!</f>
        <v>#REF!</v>
      </c>
      <c r="B52" s="6" t="e">
        <f>+#REF!</f>
        <v>#REF!</v>
      </c>
      <c r="C52" s="6" t="e">
        <f>#REF!</f>
        <v>#REF!</v>
      </c>
      <c r="D52" s="6" t="e">
        <f>#REF!</f>
        <v>#REF!</v>
      </c>
      <c r="E52" s="6" t="e">
        <f>+#REF!+#REF!</f>
        <v>#REF!</v>
      </c>
      <c r="F52" s="6" t="e">
        <f>+#REF!</f>
        <v>#REF!</v>
      </c>
      <c r="G52" s="6"/>
    </row>
    <row r="53" spans="1:7" x14ac:dyDescent="0.2">
      <c r="A53" t="e">
        <f>#REF!</f>
        <v>#REF!</v>
      </c>
      <c r="B53" s="6" t="e">
        <f>+#REF!</f>
        <v>#REF!</v>
      </c>
      <c r="C53" s="6" t="e">
        <f>#REF!</f>
        <v>#REF!</v>
      </c>
      <c r="D53" s="6" t="e">
        <f>#REF!</f>
        <v>#REF!</v>
      </c>
      <c r="E53" s="6" t="e">
        <f>+#REF!+#REF!</f>
        <v>#REF!</v>
      </c>
      <c r="F53" s="6" t="e">
        <f>+#REF!</f>
        <v>#REF!</v>
      </c>
      <c r="G53" s="6"/>
    </row>
    <row r="54" spans="1:7" x14ac:dyDescent="0.2">
      <c r="A54" t="e">
        <f>#REF!</f>
        <v>#REF!</v>
      </c>
      <c r="B54" s="6" t="e">
        <f>+#REF!</f>
        <v>#REF!</v>
      </c>
      <c r="C54" s="6" t="e">
        <f>#REF!</f>
        <v>#REF!</v>
      </c>
      <c r="D54" s="6" t="e">
        <f>#REF!</f>
        <v>#REF!</v>
      </c>
      <c r="E54" s="6" t="e">
        <f>+#REF!+#REF!</f>
        <v>#REF!</v>
      </c>
      <c r="F54" s="6" t="e">
        <f>+#REF!</f>
        <v>#REF!</v>
      </c>
      <c r="G54" s="6"/>
    </row>
    <row r="55" spans="1:7" x14ac:dyDescent="0.2">
      <c r="A55" t="e">
        <f>#REF!</f>
        <v>#REF!</v>
      </c>
      <c r="B55" s="6" t="e">
        <f>+#REF!</f>
        <v>#REF!</v>
      </c>
      <c r="C55" s="6" t="e">
        <f>#REF!</f>
        <v>#REF!</v>
      </c>
      <c r="D55" s="6" t="e">
        <f>#REF!</f>
        <v>#REF!</v>
      </c>
      <c r="E55" s="6" t="e">
        <f>+#REF!+#REF!</f>
        <v>#REF!</v>
      </c>
      <c r="F55" s="6" t="e">
        <f>+#REF!</f>
        <v>#REF!</v>
      </c>
      <c r="G55" s="6"/>
    </row>
    <row r="56" spans="1:7" x14ac:dyDescent="0.2">
      <c r="A56" t="e">
        <f>#REF!</f>
        <v>#REF!</v>
      </c>
      <c r="B56" s="6" t="e">
        <f>+#REF!</f>
        <v>#REF!</v>
      </c>
      <c r="C56" s="6" t="e">
        <f>#REF!</f>
        <v>#REF!</v>
      </c>
      <c r="D56" s="6" t="e">
        <f>#REF!</f>
        <v>#REF!</v>
      </c>
      <c r="E56" s="6" t="e">
        <f>+#REF!+#REF!</f>
        <v>#REF!</v>
      </c>
      <c r="F56" s="6" t="e">
        <f>+#REF!</f>
        <v>#REF!</v>
      </c>
      <c r="G56" s="6"/>
    </row>
    <row r="57" spans="1:7" x14ac:dyDescent="0.2">
      <c r="A57" t="e">
        <f>#REF!</f>
        <v>#REF!</v>
      </c>
      <c r="B57" s="6" t="e">
        <f>+#REF!</f>
        <v>#REF!</v>
      </c>
      <c r="C57" s="6" t="e">
        <f>#REF!</f>
        <v>#REF!</v>
      </c>
      <c r="D57" s="6" t="e">
        <f>#REF!</f>
        <v>#REF!</v>
      </c>
      <c r="E57" s="6" t="e">
        <f>+#REF!+#REF!</f>
        <v>#REF!</v>
      </c>
      <c r="F57" s="6" t="e">
        <f>+#REF!</f>
        <v>#REF!</v>
      </c>
      <c r="G57" s="6"/>
    </row>
    <row r="58" spans="1:7" x14ac:dyDescent="0.2">
      <c r="A58" t="e">
        <f>#REF!</f>
        <v>#REF!</v>
      </c>
      <c r="B58" s="6" t="e">
        <f>+#REF!</f>
        <v>#REF!</v>
      </c>
      <c r="C58" s="6" t="e">
        <f>#REF!</f>
        <v>#REF!</v>
      </c>
      <c r="D58" s="6" t="e">
        <f>#REF!</f>
        <v>#REF!</v>
      </c>
      <c r="E58" s="6" t="e">
        <f>+#REF!+#REF!</f>
        <v>#REF!</v>
      </c>
      <c r="F58" s="6" t="e">
        <f>+#REF!</f>
        <v>#REF!</v>
      </c>
      <c r="G58" s="6"/>
    </row>
    <row r="59" spans="1:7" x14ac:dyDescent="0.2">
      <c r="A59" t="e">
        <f>#REF!</f>
        <v>#REF!</v>
      </c>
      <c r="B59" s="6" t="e">
        <f>+#REF!</f>
        <v>#REF!</v>
      </c>
      <c r="C59" s="6" t="e">
        <f>#REF!</f>
        <v>#REF!</v>
      </c>
      <c r="D59" s="6" t="e">
        <f>#REF!</f>
        <v>#REF!</v>
      </c>
      <c r="E59" s="6" t="e">
        <f>+#REF!+#REF!</f>
        <v>#REF!</v>
      </c>
      <c r="F59" s="6" t="e">
        <f>+#REF!</f>
        <v>#REF!</v>
      </c>
      <c r="G59" s="6"/>
    </row>
    <row r="60" spans="1:7" x14ac:dyDescent="0.2">
      <c r="A60" t="e">
        <f>#REF!</f>
        <v>#REF!</v>
      </c>
      <c r="B60" s="6" t="e">
        <f>+#REF!</f>
        <v>#REF!</v>
      </c>
      <c r="C60" s="6" t="e">
        <f>#REF!</f>
        <v>#REF!</v>
      </c>
      <c r="D60" s="6" t="e">
        <f>#REF!</f>
        <v>#REF!</v>
      </c>
      <c r="E60" s="6" t="e">
        <f>+#REF!+#REF!</f>
        <v>#REF!</v>
      </c>
      <c r="F60" s="6" t="e">
        <f>+#REF!</f>
        <v>#REF!</v>
      </c>
      <c r="G60" s="6"/>
    </row>
    <row r="61" spans="1:7" x14ac:dyDescent="0.2">
      <c r="A61" t="e">
        <f>#REF!</f>
        <v>#REF!</v>
      </c>
      <c r="B61" s="6" t="e">
        <f>+#REF!</f>
        <v>#REF!</v>
      </c>
      <c r="C61" s="6" t="e">
        <f>#REF!</f>
        <v>#REF!</v>
      </c>
      <c r="D61" s="6" t="e">
        <f>#REF!</f>
        <v>#REF!</v>
      </c>
      <c r="E61" s="6" t="e">
        <f>+#REF!+#REF!</f>
        <v>#REF!</v>
      </c>
      <c r="F61" s="6" t="e">
        <f>+#REF!</f>
        <v>#REF!</v>
      </c>
      <c r="G61" s="6"/>
    </row>
    <row r="62" spans="1:7" x14ac:dyDescent="0.2">
      <c r="A62" t="e">
        <f>#REF!</f>
        <v>#REF!</v>
      </c>
      <c r="B62" s="6" t="e">
        <f>+#REF!</f>
        <v>#REF!</v>
      </c>
      <c r="C62" s="6" t="e">
        <f>#REF!</f>
        <v>#REF!</v>
      </c>
      <c r="D62" s="6" t="e">
        <f>#REF!</f>
        <v>#REF!</v>
      </c>
      <c r="E62" s="6" t="e">
        <f>+#REF!+#REF!</f>
        <v>#REF!</v>
      </c>
      <c r="F62" s="6" t="e">
        <f>+#REF!</f>
        <v>#REF!</v>
      </c>
      <c r="G62" s="6"/>
    </row>
    <row r="63" spans="1:7" x14ac:dyDescent="0.2">
      <c r="A63" t="e">
        <f>#REF!</f>
        <v>#REF!</v>
      </c>
      <c r="B63" s="6" t="e">
        <f>+#REF!</f>
        <v>#REF!</v>
      </c>
      <c r="C63" s="6" t="e">
        <f>#REF!</f>
        <v>#REF!</v>
      </c>
      <c r="D63" s="6" t="e">
        <f>#REF!</f>
        <v>#REF!</v>
      </c>
      <c r="E63" s="6" t="e">
        <f>+#REF!+#REF!</f>
        <v>#REF!</v>
      </c>
      <c r="F63" s="6" t="e">
        <f>+#REF!</f>
        <v>#REF!</v>
      </c>
      <c r="G63" s="6"/>
    </row>
    <row r="64" spans="1:7" x14ac:dyDescent="0.2">
      <c r="A64" t="e">
        <f>#REF!</f>
        <v>#REF!</v>
      </c>
      <c r="B64" s="6" t="e">
        <f>+#REF!</f>
        <v>#REF!</v>
      </c>
      <c r="C64" s="6" t="e">
        <f>#REF!</f>
        <v>#REF!</v>
      </c>
      <c r="D64" s="6" t="e">
        <f>#REF!</f>
        <v>#REF!</v>
      </c>
      <c r="E64" s="6" t="e">
        <f>+#REF!+#REF!</f>
        <v>#REF!</v>
      </c>
      <c r="F64" s="6" t="e">
        <f>+#REF!</f>
        <v>#REF!</v>
      </c>
      <c r="G64" s="6"/>
    </row>
    <row r="65" spans="1:7" x14ac:dyDescent="0.2">
      <c r="A65" t="e">
        <f>#REF!</f>
        <v>#REF!</v>
      </c>
      <c r="B65" s="6" t="e">
        <f>+#REF!</f>
        <v>#REF!</v>
      </c>
      <c r="C65" s="6" t="e">
        <f>#REF!</f>
        <v>#REF!</v>
      </c>
      <c r="D65" s="6" t="e">
        <f>#REF!</f>
        <v>#REF!</v>
      </c>
      <c r="E65" s="6" t="e">
        <f>+#REF!+#REF!</f>
        <v>#REF!</v>
      </c>
      <c r="F65" s="6" t="e">
        <f>+#REF!</f>
        <v>#REF!</v>
      </c>
      <c r="G65" s="6"/>
    </row>
    <row r="66" spans="1:7" x14ac:dyDescent="0.2">
      <c r="A66" t="e">
        <f>#REF!</f>
        <v>#REF!</v>
      </c>
      <c r="B66" s="6" t="e">
        <f>+#REF!</f>
        <v>#REF!</v>
      </c>
      <c r="C66" s="6" t="e">
        <f>#REF!</f>
        <v>#REF!</v>
      </c>
      <c r="D66" s="6" t="e">
        <f>#REF!</f>
        <v>#REF!</v>
      </c>
      <c r="E66" s="6" t="e">
        <f>+#REF!+#REF!</f>
        <v>#REF!</v>
      </c>
      <c r="F66" s="6" t="e">
        <f>+#REF!</f>
        <v>#REF!</v>
      </c>
      <c r="G66" s="6"/>
    </row>
    <row r="67" spans="1:7" x14ac:dyDescent="0.2">
      <c r="A67" t="e">
        <f>#REF!</f>
        <v>#REF!</v>
      </c>
      <c r="B67" s="6"/>
      <c r="C67" s="6" t="e">
        <f>#REF!</f>
        <v>#REF!</v>
      </c>
      <c r="D67" s="6" t="e">
        <f>#REF!</f>
        <v>#REF!</v>
      </c>
      <c r="E67" s="6" t="e">
        <f>+#REF!+#REF!</f>
        <v>#REF!</v>
      </c>
      <c r="F67" s="6" t="e">
        <f>+#REF!</f>
        <v>#REF!</v>
      </c>
      <c r="G67" s="6"/>
    </row>
    <row r="68" spans="1:7" x14ac:dyDescent="0.2">
      <c r="A68" t="e">
        <f>#REF!</f>
        <v>#REF!</v>
      </c>
      <c r="B68" s="6" t="e">
        <f>+#REF!</f>
        <v>#REF!</v>
      </c>
      <c r="C68" s="6" t="e">
        <f>#REF!</f>
        <v>#REF!</v>
      </c>
      <c r="D68" s="6" t="e">
        <f>#REF!</f>
        <v>#REF!</v>
      </c>
      <c r="E68" s="6" t="e">
        <f>+#REF!+#REF!</f>
        <v>#REF!</v>
      </c>
      <c r="F68" s="6" t="e">
        <f>+#REF!</f>
        <v>#REF!</v>
      </c>
      <c r="G68" s="6"/>
    </row>
    <row r="69" spans="1:7" x14ac:dyDescent="0.2">
      <c r="B69" s="6" t="e">
        <f>+#REF!</f>
        <v>#REF!</v>
      </c>
      <c r="C69" s="6" t="e">
        <f>#REF!</f>
        <v>#REF!</v>
      </c>
      <c r="D69" s="6" t="e">
        <f>#REF!</f>
        <v>#REF!</v>
      </c>
      <c r="E69" s="6" t="e">
        <f>+#REF!+#REF!</f>
        <v>#REF!</v>
      </c>
      <c r="F69" s="6" t="e">
        <f>+#REF!</f>
        <v>#REF!</v>
      </c>
      <c r="G69" s="6"/>
    </row>
  </sheetData>
  <pageMargins left="0.7" right="0.7" top="0.75" bottom="0.75" header="0.3" footer="0.3"/>
  <pageSetup scale="8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CA170-5A14-4024-A3CB-1712C4C9375B}">
  <sheetPr>
    <pageSetUpPr fitToPage="1"/>
  </sheetPr>
  <dimension ref="S8:T25"/>
  <sheetViews>
    <sheetView showOutlineSymbols="0" zoomScale="80" zoomScaleNormal="80" workbookViewId="0">
      <selection activeCell="M22" sqref="M22"/>
    </sheetView>
  </sheetViews>
  <sheetFormatPr defaultRowHeight="12.75" x14ac:dyDescent="0.2"/>
  <cols>
    <col min="19" max="19" width="13.85546875" bestFit="1" customWidth="1"/>
    <col min="20" max="20" width="13.42578125" bestFit="1" customWidth="1"/>
  </cols>
  <sheetData>
    <row r="8" spans="19:19" x14ac:dyDescent="0.2">
      <c r="S8" s="27"/>
    </row>
    <row r="25" spans="20:20" x14ac:dyDescent="0.2">
      <c r="T25" s="27"/>
    </row>
  </sheetData>
  <printOptions horizontalCentered="1" verticalCentered="1"/>
  <pageMargins left="0.7" right="0.7" top="0.5" bottom="0.5" header="0.3" footer="0.3"/>
  <pageSetup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5F285-CD74-436F-A48D-922D2223DEE1}">
  <sheetPr>
    <pageSetUpPr fitToPage="1"/>
  </sheetPr>
  <dimension ref="S12:V28"/>
  <sheetViews>
    <sheetView showOutlineSymbols="0" zoomScale="90" zoomScaleNormal="90" workbookViewId="0">
      <selection activeCell="M22" sqref="M22"/>
    </sheetView>
  </sheetViews>
  <sheetFormatPr defaultRowHeight="12.75" x14ac:dyDescent="0.2"/>
  <cols>
    <col min="19" max="19" width="15.140625" bestFit="1" customWidth="1"/>
    <col min="20" max="20" width="12.85546875" bestFit="1" customWidth="1"/>
    <col min="22" max="22" width="14.5703125" bestFit="1" customWidth="1"/>
  </cols>
  <sheetData>
    <row r="12" spans="19:19" x14ac:dyDescent="0.2">
      <c r="S12" s="27"/>
    </row>
    <row r="27" spans="19:22" x14ac:dyDescent="0.2">
      <c r="S27" s="27"/>
    </row>
    <row r="28" spans="19:22" x14ac:dyDescent="0.2">
      <c r="V28" s="27"/>
    </row>
  </sheetData>
  <printOptions horizontalCentered="1" verticalCentered="1"/>
  <pageMargins left="0" right="0.7" top="0" bottom="0" header="0.3" footer="0.3"/>
  <pageSetup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Q26"/>
  <sheetViews>
    <sheetView showOutlineSymbols="0" topLeftCell="B1" workbookViewId="0">
      <selection activeCell="C7" sqref="C7"/>
    </sheetView>
  </sheetViews>
  <sheetFormatPr defaultRowHeight="12.75" x14ac:dyDescent="0.2"/>
  <cols>
    <col min="2" max="2" width="13.85546875" customWidth="1"/>
    <col min="3" max="3" width="12.85546875" bestFit="1" customWidth="1"/>
    <col min="4" max="4" width="12" customWidth="1"/>
    <col min="5" max="5" width="11.85546875" customWidth="1"/>
    <col min="8" max="8" width="15.140625" bestFit="1" customWidth="1"/>
    <col min="13" max="13" width="14.140625" bestFit="1" customWidth="1"/>
    <col min="15" max="15" width="13.7109375" bestFit="1" customWidth="1"/>
    <col min="17" max="17" width="13.140625" bestFit="1" customWidth="1"/>
  </cols>
  <sheetData>
    <row r="3" spans="2:17" x14ac:dyDescent="0.2">
      <c r="C3" t="s">
        <v>48</v>
      </c>
      <c r="D3" t="s">
        <v>49</v>
      </c>
      <c r="E3" t="s">
        <v>50</v>
      </c>
    </row>
    <row r="4" spans="2:17" x14ac:dyDescent="0.2">
      <c r="B4" t="s">
        <v>51</v>
      </c>
      <c r="C4" s="6">
        <f>+C22</f>
        <v>32117560.157561213</v>
      </c>
      <c r="D4" s="6">
        <f>INDIRECT!B37</f>
        <v>5702160.0951097179</v>
      </c>
      <c r="E4" s="157">
        <f>+D4/C6</f>
        <v>0.12165422626819722</v>
      </c>
      <c r="F4" s="3" t="s">
        <v>197</v>
      </c>
      <c r="M4" s="27"/>
      <c r="O4" s="24"/>
      <c r="Q4" s="27"/>
    </row>
    <row r="5" spans="2:17" x14ac:dyDescent="0.2">
      <c r="B5" t="s">
        <v>53</v>
      </c>
      <c r="C5" s="6">
        <f>+D22</f>
        <v>14754301.758183619</v>
      </c>
      <c r="E5" s="6">
        <f>+D4-C7</f>
        <v>737.05095514655113</v>
      </c>
      <c r="M5" s="27"/>
      <c r="O5" s="24"/>
    </row>
    <row r="6" spans="2:17" x14ac:dyDescent="0.2">
      <c r="B6" t="s">
        <v>54</v>
      </c>
      <c r="C6" s="6">
        <f>SUM(C4:C5)</f>
        <v>46871861.915744834</v>
      </c>
    </row>
    <row r="7" spans="2:17" ht="15" x14ac:dyDescent="0.25">
      <c r="B7" t="s">
        <v>55</v>
      </c>
      <c r="C7" s="6">
        <f>+E22</f>
        <v>5701423.0441545714</v>
      </c>
      <c r="H7" s="153">
        <f>BENEFIT!C29+BENEFIT!C36</f>
        <v>51074154.355445661</v>
      </c>
    </row>
    <row r="9" spans="2:17" x14ac:dyDescent="0.2">
      <c r="B9" t="s">
        <v>242</v>
      </c>
      <c r="C9" s="6">
        <f>[10]HOURS!$A$22</f>
        <v>4443846.483294161</v>
      </c>
      <c r="D9" s="6">
        <f>[5]BUDGET!$D$26+[4]BUDGET!$F$26</f>
        <v>1003392.5747396034</v>
      </c>
      <c r="E9" s="6">
        <f>+C9-D9</f>
        <v>3440453.9085545577</v>
      </c>
    </row>
    <row r="10" spans="2:17" x14ac:dyDescent="0.2">
      <c r="B10" t="s">
        <v>198</v>
      </c>
      <c r="C10" s="6">
        <f>[10]HOURS!$A$14</f>
        <v>4910156.2946433332</v>
      </c>
      <c r="D10" s="6">
        <f>[7]BUDGET!$F$22</f>
        <v>4910156.2946433332</v>
      </c>
      <c r="E10" s="6">
        <f>+C10-D10</f>
        <v>0</v>
      </c>
    </row>
    <row r="11" spans="2:17" x14ac:dyDescent="0.2">
      <c r="C11" s="6"/>
      <c r="D11" s="6"/>
      <c r="E11" s="6"/>
    </row>
    <row r="12" spans="2:17" x14ac:dyDescent="0.2">
      <c r="C12" s="6"/>
      <c r="D12" s="6"/>
      <c r="E12" s="6"/>
    </row>
    <row r="13" spans="2:17" x14ac:dyDescent="0.2">
      <c r="C13" s="6" t="s">
        <v>51</v>
      </c>
      <c r="D13" s="6" t="s">
        <v>199</v>
      </c>
      <c r="E13" s="6" t="s">
        <v>48</v>
      </c>
    </row>
    <row r="14" spans="2:17" x14ac:dyDescent="0.2">
      <c r="B14" t="s">
        <v>250</v>
      </c>
      <c r="C14" s="6">
        <f>ALLEXP!L8</f>
        <v>788711.30633463548</v>
      </c>
      <c r="D14" s="6">
        <f>ALLEXP!L9</f>
        <v>362333.97413013154</v>
      </c>
      <c r="E14" s="6">
        <f>ALLEXP!L10</f>
        <v>139967.10610451567</v>
      </c>
    </row>
    <row r="15" spans="2:17" x14ac:dyDescent="0.2">
      <c r="B15" s="3" t="s">
        <v>200</v>
      </c>
      <c r="C15" s="6">
        <f>ALLEXP!M8</f>
        <v>1939737.1659250606</v>
      </c>
      <c r="D15" s="6">
        <f>ALLEXP!M9</f>
        <v>891115.2540259728</v>
      </c>
      <c r="E15" s="6">
        <f>[7]BUDGET!$F$13</f>
        <v>344231.65426604566</v>
      </c>
    </row>
    <row r="16" spans="2:17" x14ac:dyDescent="0.2">
      <c r="B16" t="s">
        <v>201</v>
      </c>
      <c r="C16" s="6">
        <f>ALLEXP!E8+ALLEXP!F8</f>
        <v>1927894.5652301223</v>
      </c>
      <c r="D16" s="6">
        <f>ALLEXP!E9+ALLEXP!F9</f>
        <v>885674.76326671813</v>
      </c>
      <c r="E16" s="6">
        <f>[5]BUDGET!$B$15</f>
        <v>288803.1289888185</v>
      </c>
    </row>
    <row r="17" spans="2:5" x14ac:dyDescent="0.2">
      <c r="B17" s="3" t="s">
        <v>202</v>
      </c>
      <c r="C17" s="6">
        <f>ALLEXP!J8</f>
        <v>3274938.2880949532</v>
      </c>
      <c r="D17" s="6">
        <f>ALLEXP!J9</f>
        <v>1504506.6495508212</v>
      </c>
      <c r="E17" s="6">
        <f>[4]BUDGET!$B$13</f>
        <v>634507.4057741235</v>
      </c>
    </row>
    <row r="18" spans="2:5" x14ac:dyDescent="0.2">
      <c r="B18" t="s">
        <v>203</v>
      </c>
      <c r="C18" s="6">
        <f>ALLEXP!D8</f>
        <v>3512441.1024931096</v>
      </c>
      <c r="D18" s="6">
        <f>ALLEXP!D9</f>
        <v>1613615.4424853344</v>
      </c>
      <c r="E18" s="6">
        <f>[2]BUDGET!$B$13</f>
        <v>623328.47586937889</v>
      </c>
    </row>
    <row r="19" spans="2:5" x14ac:dyDescent="0.2">
      <c r="B19" s="19" t="s">
        <v>255</v>
      </c>
      <c r="C19" s="6">
        <f>ALLEXP!H8</f>
        <v>3385071.6493277634</v>
      </c>
      <c r="D19" s="6">
        <f>ALLEXP!H9</f>
        <v>1555100.5375011745</v>
      </c>
      <c r="E19" s="6">
        <f>[6]BUDGET!$B$13</f>
        <v>600724.5731183989</v>
      </c>
    </row>
    <row r="20" spans="2:5" x14ac:dyDescent="0.2">
      <c r="B20" t="s">
        <v>204</v>
      </c>
      <c r="C20" s="6">
        <f>ALLEXP!C8+ALLEXP!G8</f>
        <v>11370469.989592092</v>
      </c>
      <c r="D20" s="6">
        <f>ALLEXP!C9+ALLEXP!G9</f>
        <v>5223593.9132186063</v>
      </c>
      <c r="E20" s="6">
        <f>[3]BUDGET!$B$13</f>
        <v>2019643.1705817808</v>
      </c>
    </row>
    <row r="21" spans="2:5" x14ac:dyDescent="0.2">
      <c r="B21" t="s">
        <v>205</v>
      </c>
      <c r="C21" s="26">
        <f>ALLEXP!I8</f>
        <v>5918296.0905634779</v>
      </c>
      <c r="D21" s="26">
        <f>ALLEXP!I9</f>
        <v>2718361.2240048614</v>
      </c>
      <c r="E21" s="26">
        <f>[1]BUDGET!$B$13</f>
        <v>1050217.5294515102</v>
      </c>
    </row>
    <row r="22" spans="2:5" x14ac:dyDescent="0.2">
      <c r="B22" t="s">
        <v>206</v>
      </c>
      <c r="C22" s="6">
        <f>SUM(C14:C21)</f>
        <v>32117560.157561213</v>
      </c>
      <c r="D22" s="6">
        <f>SUM(D14:D21)</f>
        <v>14754301.758183619</v>
      </c>
      <c r="E22" s="6">
        <f>SUM(E14:E21)</f>
        <v>5701423.0441545714</v>
      </c>
    </row>
    <row r="23" spans="2:5" x14ac:dyDescent="0.2">
      <c r="D23" s="5"/>
      <c r="E23" s="6"/>
    </row>
    <row r="24" spans="2:5" x14ac:dyDescent="0.2">
      <c r="C24" s="27">
        <f>+C6*0.1226</f>
        <v>5746490.2708703168</v>
      </c>
    </row>
    <row r="26" spans="2:5" x14ac:dyDescent="0.2">
      <c r="C26">
        <f>31588359-28929809</f>
        <v>2658550</v>
      </c>
    </row>
  </sheetData>
  <pageMargins left="0.7" right="0.7" top="0.75" bottom="0.75" header="0.3" footer="0.3"/>
  <pageSetup paperSize="122"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4:K68"/>
  <sheetViews>
    <sheetView showOutlineSymbols="0" zoomScaleNormal="100" workbookViewId="0">
      <selection activeCell="L69" sqref="L69:L70"/>
    </sheetView>
  </sheetViews>
  <sheetFormatPr defaultRowHeight="12.75" x14ac:dyDescent="0.2"/>
  <cols>
    <col min="1" max="1" width="35.28515625" bestFit="1" customWidth="1"/>
    <col min="2" max="2" width="16.7109375" customWidth="1"/>
    <col min="3" max="3" width="29.28515625" customWidth="1"/>
    <col min="4" max="4" width="14" customWidth="1"/>
    <col min="5" max="5" width="9.7109375" customWidth="1"/>
    <col min="6" max="6" width="11.140625" hidden="1" customWidth="1"/>
    <col min="7" max="7" width="10" bestFit="1" customWidth="1"/>
    <col min="9" max="9" width="10" bestFit="1" customWidth="1"/>
  </cols>
  <sheetData>
    <row r="4" spans="1:4" x14ac:dyDescent="0.2">
      <c r="A4" t="s">
        <v>207</v>
      </c>
    </row>
    <row r="6" spans="1:4" x14ac:dyDescent="0.2">
      <c r="A6" t="s">
        <v>74</v>
      </c>
      <c r="B6" s="6">
        <f>+SVCPLAN!C15</f>
        <v>19058082.844262794</v>
      </c>
      <c r="C6" t="s">
        <v>74</v>
      </c>
      <c r="D6" s="5">
        <f>+B6/$B$15</f>
        <v>3.2039691020280182E-2</v>
      </c>
    </row>
    <row r="7" spans="1:4" x14ac:dyDescent="0.2">
      <c r="A7" t="s">
        <v>81</v>
      </c>
      <c r="B7" s="6">
        <f>+SVCPLAN!C23</f>
        <v>3695000</v>
      </c>
      <c r="C7" t="s">
        <v>124</v>
      </c>
      <c r="D7" s="5">
        <f t="shared" ref="D7:D13" si="0">+B7/$B$15</f>
        <v>6.2118870658374832E-3</v>
      </c>
    </row>
    <row r="8" spans="1:4" x14ac:dyDescent="0.2">
      <c r="A8" t="s">
        <v>75</v>
      </c>
      <c r="B8" s="6">
        <f>+SVCPLAN!C16</f>
        <v>19998973.419538788</v>
      </c>
      <c r="C8" t="s">
        <v>63</v>
      </c>
      <c r="D8" s="5">
        <f t="shared" si="0"/>
        <v>3.3621478840287045E-2</v>
      </c>
    </row>
    <row r="9" spans="1:4" x14ac:dyDescent="0.2">
      <c r="A9" s="3" t="s">
        <v>76</v>
      </c>
      <c r="B9" s="6">
        <f>+SVCPLAN!C17</f>
        <v>2060341.93147875</v>
      </c>
      <c r="C9" s="3" t="s">
        <v>252</v>
      </c>
      <c r="D9" s="5">
        <f t="shared" si="0"/>
        <v>3.4637649243181232E-3</v>
      </c>
    </row>
    <row r="10" spans="1:4" x14ac:dyDescent="0.2">
      <c r="A10" t="s">
        <v>208</v>
      </c>
      <c r="B10" s="6">
        <f>+SVCPLAN!C18</f>
        <v>494083638.62170058</v>
      </c>
      <c r="C10" t="s">
        <v>77</v>
      </c>
      <c r="D10" s="5">
        <f t="shared" si="0"/>
        <v>0.83063376568229041</v>
      </c>
    </row>
    <row r="11" spans="1:4" x14ac:dyDescent="0.2">
      <c r="A11" s="3" t="s">
        <v>254</v>
      </c>
      <c r="B11" s="6">
        <f>+SVCPLAN!C19</f>
        <v>13193851.475932123</v>
      </c>
      <c r="C11" s="3" t="s">
        <v>254</v>
      </c>
      <c r="D11" s="5">
        <f t="shared" si="0"/>
        <v>2.218097843895089E-2</v>
      </c>
    </row>
    <row r="12" spans="1:4" x14ac:dyDescent="0.2">
      <c r="A12" t="s">
        <v>209</v>
      </c>
      <c r="B12" s="6">
        <f>+SVCPLAN!C22</f>
        <v>2086041.0949843079</v>
      </c>
      <c r="C12" t="s">
        <v>91</v>
      </c>
      <c r="D12" s="5">
        <f t="shared" si="0"/>
        <v>3.5069693360591293E-3</v>
      </c>
    </row>
    <row r="13" spans="1:4" x14ac:dyDescent="0.2">
      <c r="A13" s="3" t="s">
        <v>79</v>
      </c>
      <c r="B13" s="6">
        <f>+SVCPLAN!C21</f>
        <v>10297020.083926318</v>
      </c>
      <c r="C13" s="23" t="s">
        <v>210</v>
      </c>
      <c r="D13" s="5">
        <f t="shared" si="0"/>
        <v>1.7310940697161215E-2</v>
      </c>
    </row>
    <row r="14" spans="1:4" x14ac:dyDescent="0.2">
      <c r="A14" t="s">
        <v>78</v>
      </c>
      <c r="B14" s="6">
        <f>+SVCPLAN!C20</f>
        <v>30354348.712780658</v>
      </c>
      <c r="C14" t="s">
        <v>211</v>
      </c>
      <c r="D14" s="5">
        <f>+B14/$B$15</f>
        <v>5.1030523994815377E-2</v>
      </c>
    </row>
    <row r="15" spans="1:4" x14ac:dyDescent="0.2">
      <c r="A15" t="s">
        <v>47</v>
      </c>
      <c r="B15" s="6">
        <f>SUM(B6:B14)</f>
        <v>594827298.18460441</v>
      </c>
      <c r="D15" s="5">
        <f>SUM(D6:D14)</f>
        <v>0.99999999999999978</v>
      </c>
    </row>
    <row r="17" spans="1:11" x14ac:dyDescent="0.2">
      <c r="A17" t="s">
        <v>212</v>
      </c>
    </row>
    <row r="19" spans="1:11" x14ac:dyDescent="0.2">
      <c r="A19" t="s">
        <v>213</v>
      </c>
      <c r="B19" s="6">
        <f>ALLEXP!N8+ALLEXP!N9-1</f>
        <v>51074869.452058405</v>
      </c>
      <c r="C19" t="s">
        <v>214</v>
      </c>
      <c r="D19" s="5">
        <f t="shared" ref="D19:D24" si="1">+B19/$B$25</f>
        <v>8.5865039640585519E-2</v>
      </c>
      <c r="F19" s="6">
        <f>SUM(B19:B21)+SUM(B23:B24)</f>
        <v>585387966.55716813</v>
      </c>
    </row>
    <row r="20" spans="1:11" x14ac:dyDescent="0.2">
      <c r="A20" t="s">
        <v>215</v>
      </c>
      <c r="B20" s="6">
        <f>ALLEXP!N11</f>
        <v>23427840</v>
      </c>
      <c r="C20" t="s">
        <v>216</v>
      </c>
      <c r="D20" s="5">
        <f t="shared" si="1"/>
        <v>3.9385953050384608E-2</v>
      </c>
    </row>
    <row r="21" spans="1:11" x14ac:dyDescent="0.2">
      <c r="A21" t="s">
        <v>35</v>
      </c>
      <c r="B21" s="6">
        <f>ALLEXP!N22</f>
        <v>500863097.00999999</v>
      </c>
      <c r="C21" t="s">
        <v>35</v>
      </c>
      <c r="D21" s="5">
        <f t="shared" si="1"/>
        <v>0.84203112295056182</v>
      </c>
    </row>
    <row r="22" spans="1:11" x14ac:dyDescent="0.2">
      <c r="A22" t="s">
        <v>217</v>
      </c>
      <c r="B22" s="6">
        <f>ALLEXP!N24-GRAPH!F19</f>
        <v>9439330.6274362803</v>
      </c>
      <c r="C22" t="s">
        <v>218</v>
      </c>
      <c r="D22" s="5">
        <f t="shared" si="1"/>
        <v>1.5869027316187185E-2</v>
      </c>
    </row>
    <row r="23" spans="1:11" x14ac:dyDescent="0.2">
      <c r="A23" t="s">
        <v>115</v>
      </c>
      <c r="B23" s="6">
        <f>GRAPH!B37</f>
        <v>5702160.0951097179</v>
      </c>
      <c r="C23" t="s">
        <v>115</v>
      </c>
      <c r="D23" s="5">
        <f t="shared" si="1"/>
        <v>9.5862448177795288E-3</v>
      </c>
      <c r="G23" s="6"/>
      <c r="K23" s="6"/>
    </row>
    <row r="24" spans="1:11" x14ac:dyDescent="0.2">
      <c r="A24" t="s">
        <v>124</v>
      </c>
      <c r="B24" s="6">
        <f>ALLEXP!N21</f>
        <v>4320000</v>
      </c>
      <c r="C24" t="s">
        <v>124</v>
      </c>
      <c r="D24" s="5">
        <f t="shared" si="1"/>
        <v>7.262612224501341E-3</v>
      </c>
    </row>
    <row r="25" spans="1:11" x14ac:dyDescent="0.2">
      <c r="A25" t="s">
        <v>47</v>
      </c>
      <c r="B25" s="6">
        <f>SUM(B19:B24)</f>
        <v>594827297.18460441</v>
      </c>
      <c r="D25" s="5">
        <f>SUM(D19:D24)</f>
        <v>0.99999999999999989</v>
      </c>
    </row>
    <row r="27" spans="1:11" x14ac:dyDescent="0.2">
      <c r="A27" t="s">
        <v>219</v>
      </c>
    </row>
    <row r="29" spans="1:11" x14ac:dyDescent="0.2">
      <c r="A29" t="s">
        <v>213</v>
      </c>
      <c r="B29" s="6">
        <f>+INDIRECT!B9</f>
        <v>4203008.5363135738</v>
      </c>
      <c r="C29" t="s">
        <v>214</v>
      </c>
      <c r="D29" s="5">
        <f t="shared" ref="D29:D36" si="2">+B29/$B$37</f>
        <v>0.737090587813933</v>
      </c>
    </row>
    <row r="30" spans="1:11" x14ac:dyDescent="0.2">
      <c r="A30" t="s">
        <v>220</v>
      </c>
      <c r="B30" s="6">
        <f>+INDIRECT!B11+INDIRECT!B12+INDIRECT!B13+INDIRECT!B10</f>
        <v>124000</v>
      </c>
      <c r="C30" t="s">
        <v>221</v>
      </c>
      <c r="D30" s="5">
        <f t="shared" si="2"/>
        <v>2.1746144957652938E-2</v>
      </c>
    </row>
    <row r="31" spans="1:11" x14ac:dyDescent="0.2">
      <c r="A31" t="s">
        <v>117</v>
      </c>
      <c r="B31" s="6">
        <f>+INDIRECT!B14</f>
        <v>55500</v>
      </c>
      <c r="C31" t="s">
        <v>117</v>
      </c>
      <c r="D31" s="5">
        <f t="shared" si="2"/>
        <v>9.7331535899172431E-3</v>
      </c>
    </row>
    <row r="32" spans="1:11" x14ac:dyDescent="0.2">
      <c r="A32" t="s">
        <v>149</v>
      </c>
      <c r="B32" s="6">
        <f>+INDIRECT!B35</f>
        <v>620000</v>
      </c>
      <c r="C32" t="s">
        <v>222</v>
      </c>
      <c r="D32" s="5">
        <f t="shared" si="2"/>
        <v>0.1087307247882647</v>
      </c>
    </row>
    <row r="33" spans="1:5" x14ac:dyDescent="0.2">
      <c r="A33" t="s">
        <v>118</v>
      </c>
      <c r="B33" s="6">
        <f>+INDIRECT!B15</f>
        <v>141965.55879614427</v>
      </c>
      <c r="C33" t="s">
        <v>118</v>
      </c>
      <c r="D33" s="5">
        <f t="shared" si="2"/>
        <v>2.4896803391735119E-2</v>
      </c>
    </row>
    <row r="34" spans="1:5" x14ac:dyDescent="0.2">
      <c r="A34" t="s">
        <v>223</v>
      </c>
      <c r="B34" s="6">
        <f>+INDIRECT!B16</f>
        <v>8961</v>
      </c>
      <c r="C34" t="s">
        <v>223</v>
      </c>
      <c r="D34" s="5">
        <f t="shared" si="2"/>
        <v>1.5715097174639355E-3</v>
      </c>
    </row>
    <row r="35" spans="1:5" x14ac:dyDescent="0.2">
      <c r="A35" t="s">
        <v>224</v>
      </c>
      <c r="B35" s="6">
        <f>+INDIRECT!B33</f>
        <v>30500</v>
      </c>
      <c r="C35" t="s">
        <v>225</v>
      </c>
      <c r="D35" s="5">
        <f t="shared" si="2"/>
        <v>5.348850171035602E-3</v>
      </c>
    </row>
    <row r="36" spans="1:5" x14ac:dyDescent="0.2">
      <c r="A36" t="s">
        <v>226</v>
      </c>
      <c r="B36" s="6">
        <f>SUM(INDIRECT!B17:B36)-B35-B32</f>
        <v>518225</v>
      </c>
      <c r="C36" t="s">
        <v>218</v>
      </c>
      <c r="D36" s="5">
        <f t="shared" si="2"/>
        <v>9.0882225569997532E-2</v>
      </c>
      <c r="E36" s="22"/>
    </row>
    <row r="37" spans="1:5" x14ac:dyDescent="0.2">
      <c r="A37" t="s">
        <v>47</v>
      </c>
      <c r="B37" s="6">
        <f>SUM(B29:B36)</f>
        <v>5702160.0951097179</v>
      </c>
      <c r="D37" s="5">
        <f>SUM(D29:D36)</f>
        <v>1</v>
      </c>
    </row>
    <row r="39" spans="1:5" x14ac:dyDescent="0.2">
      <c r="A39" t="s">
        <v>227</v>
      </c>
    </row>
    <row r="41" spans="1:5" x14ac:dyDescent="0.2">
      <c r="A41" t="s">
        <v>228</v>
      </c>
      <c r="B41" s="6">
        <f>+'Unrestricted fund bal'!C17</f>
        <v>15225070.608497426</v>
      </c>
      <c r="C41" s="3" t="str">
        <f>CONCATENATE("UNRESTRICTED - $",TEXT(B41,"###,###,###"))</f>
        <v>UNRESTRICTED - $15,225,071</v>
      </c>
      <c r="D41" s="4">
        <f>+B41/B43</f>
        <v>2.559578335788466E-2</v>
      </c>
    </row>
    <row r="42" spans="1:5" x14ac:dyDescent="0.2">
      <c r="A42" t="s">
        <v>229</v>
      </c>
      <c r="B42" s="6">
        <f>+B25-B41</f>
        <v>579602226.57610703</v>
      </c>
      <c r="C42" s="3" t="str">
        <f>CONCATENATE("RESTRICTED - $",TEXT(B42,"###,###,###"))</f>
        <v>RESTRICTED - $579,602,227</v>
      </c>
      <c r="D42" s="4">
        <f>+B42/B43</f>
        <v>0.97440421832327562</v>
      </c>
    </row>
    <row r="43" spans="1:5" x14ac:dyDescent="0.2">
      <c r="A43" t="s">
        <v>47</v>
      </c>
      <c r="B43" s="6">
        <f>SUM(B41:B42)-1</f>
        <v>594827296.18460441</v>
      </c>
      <c r="D43" s="4">
        <f>SUM(D41:D42)</f>
        <v>1.0000000016811603</v>
      </c>
    </row>
    <row r="45" spans="1:5" x14ac:dyDescent="0.2">
      <c r="A45" t="s">
        <v>230</v>
      </c>
    </row>
    <row r="47" spans="1:5" x14ac:dyDescent="0.2">
      <c r="A47" t="s">
        <v>29</v>
      </c>
      <c r="B47" s="6">
        <f>+'Unrestricted fund bal'!C9</f>
        <v>462937</v>
      </c>
      <c r="C47" t="s">
        <v>231</v>
      </c>
      <c r="D47" s="5">
        <f t="shared" ref="D47:D55" si="3">+B47/$B$56</f>
        <v>3.040622808904395E-2</v>
      </c>
    </row>
    <row r="48" spans="1:5" x14ac:dyDescent="0.2">
      <c r="A48" t="s">
        <v>26</v>
      </c>
      <c r="B48" s="6">
        <f>+'Unrestricted fund bal'!C10</f>
        <v>1000000</v>
      </c>
      <c r="C48" t="s">
        <v>232</v>
      </c>
      <c r="D48" s="5">
        <f t="shared" si="3"/>
        <v>6.5681136070445761E-2</v>
      </c>
    </row>
    <row r="49" spans="1:4" x14ac:dyDescent="0.2">
      <c r="A49" t="s">
        <v>183</v>
      </c>
      <c r="B49" s="6">
        <f>+'Unrestricted fund bal'!C11</f>
        <v>444719.5861876345</v>
      </c>
      <c r="C49" t="s">
        <v>233</v>
      </c>
      <c r="D49" s="5">
        <f t="shared" si="3"/>
        <v>2.9209687653582353E-2</v>
      </c>
    </row>
    <row r="50" spans="1:4" x14ac:dyDescent="0.2">
      <c r="A50" t="s">
        <v>234</v>
      </c>
      <c r="B50" s="6">
        <f>+'Unrestricted fund bal'!C12</f>
        <v>5812713.7213178724</v>
      </c>
      <c r="C50" t="s">
        <v>235</v>
      </c>
      <c r="D50" s="5">
        <f t="shared" si="3"/>
        <v>0.38178564086842631</v>
      </c>
    </row>
    <row r="51" spans="1:4" x14ac:dyDescent="0.2">
      <c r="A51" t="s">
        <v>185</v>
      </c>
      <c r="B51" s="6">
        <f>+'Unrestricted fund bal'!C13</f>
        <v>1081437.5728829557</v>
      </c>
      <c r="C51" t="s">
        <v>185</v>
      </c>
      <c r="D51" s="5">
        <f t="shared" si="3"/>
        <v>7.1030048376218013E-2</v>
      </c>
    </row>
    <row r="52" spans="1:4" x14ac:dyDescent="0.2">
      <c r="A52" t="s">
        <v>80</v>
      </c>
      <c r="B52" s="6">
        <f>+'Unrestricted fund bal'!C14</f>
        <v>119040</v>
      </c>
      <c r="C52" t="s">
        <v>80</v>
      </c>
      <c r="D52" s="5">
        <f t="shared" si="3"/>
        <v>7.8186824378258645E-3</v>
      </c>
    </row>
    <row r="53" spans="1:4" x14ac:dyDescent="0.2">
      <c r="A53" t="s">
        <v>25</v>
      </c>
      <c r="B53" s="6">
        <f>+'Unrestricted fund bal'!C15</f>
        <v>1023316</v>
      </c>
      <c r="C53" t="s">
        <v>25</v>
      </c>
      <c r="D53" s="5">
        <f t="shared" si="3"/>
        <v>6.7212557439064277E-2</v>
      </c>
    </row>
    <row r="54" spans="1:4" x14ac:dyDescent="0.2">
      <c r="A54" s="3" t="s">
        <v>253</v>
      </c>
      <c r="B54" s="6">
        <f>+'Unrestricted fund bal'!C16</f>
        <v>5280906.7281089621</v>
      </c>
      <c r="C54" s="3" t="s">
        <v>253</v>
      </c>
      <c r="D54" s="5">
        <f t="shared" si="3"/>
        <v>0.34685595338425729</v>
      </c>
    </row>
    <row r="55" spans="1:4" x14ac:dyDescent="0.2">
      <c r="A55" t="s">
        <v>186</v>
      </c>
      <c r="B55" s="6">
        <v>0</v>
      </c>
      <c r="C55" t="s">
        <v>186</v>
      </c>
      <c r="D55" s="5">
        <f t="shared" si="3"/>
        <v>0</v>
      </c>
    </row>
    <row r="56" spans="1:4" x14ac:dyDescent="0.2">
      <c r="A56" t="s">
        <v>47</v>
      </c>
      <c r="B56" s="6">
        <f>SUM(B47:B55)+1</f>
        <v>15225071.608497426</v>
      </c>
      <c r="C56" s="25"/>
      <c r="D56" s="4">
        <f>SUM(D47:D55)</f>
        <v>0.99999993431886391</v>
      </c>
    </row>
    <row r="58" spans="1:4" x14ac:dyDescent="0.2">
      <c r="A58" t="s">
        <v>236</v>
      </c>
    </row>
    <row r="60" spans="1:4" x14ac:dyDescent="0.2">
      <c r="A60" s="3" t="s">
        <v>74</v>
      </c>
      <c r="B60" s="19">
        <f>+'Unrestricted fund bal'!C26</f>
        <v>310606</v>
      </c>
      <c r="C60" t="s">
        <v>74</v>
      </c>
      <c r="D60" s="5">
        <f t="shared" ref="D60:D67" si="4">+B60/$B$68</f>
        <v>1.8397122488125209E-2</v>
      </c>
    </row>
    <row r="61" spans="1:4" x14ac:dyDescent="0.2">
      <c r="A61" s="3" t="s">
        <v>75</v>
      </c>
      <c r="B61" s="19">
        <f>+'Unrestricted fund bal'!C27+'Unrestricted fund bal'!C28</f>
        <v>6034352.7213178724</v>
      </c>
      <c r="C61" t="s">
        <v>256</v>
      </c>
      <c r="D61" s="5">
        <f t="shared" si="4"/>
        <v>0.35741333441928547</v>
      </c>
    </row>
    <row r="62" spans="1:4" x14ac:dyDescent="0.2">
      <c r="A62" s="3" t="s">
        <v>188</v>
      </c>
      <c r="B62" s="19">
        <f>'Unrestricted fund bal'!C33</f>
        <v>350308</v>
      </c>
      <c r="C62" t="s">
        <v>91</v>
      </c>
      <c r="D62" s="5">
        <f t="shared" si="4"/>
        <v>2.0748662886647926E-2</v>
      </c>
    </row>
    <row r="63" spans="1:4" x14ac:dyDescent="0.2">
      <c r="A63" s="3" t="s">
        <v>25</v>
      </c>
      <c r="B63" s="19">
        <f>+'Unrestricted fund bal'!C30</f>
        <v>1023316</v>
      </c>
      <c r="C63" t="s">
        <v>25</v>
      </c>
      <c r="D63" s="5">
        <f t="shared" si="4"/>
        <v>6.0610773121119156E-2</v>
      </c>
    </row>
    <row r="64" spans="1:4" x14ac:dyDescent="0.2">
      <c r="A64" s="3" t="s">
        <v>253</v>
      </c>
      <c r="B64" s="19">
        <f>+'Unrestricted fund bal'!C31</f>
        <v>5280906.7281089621</v>
      </c>
      <c r="C64" s="3" t="s">
        <v>253</v>
      </c>
      <c r="D64" s="5">
        <f t="shared" si="4"/>
        <v>0.31278690020600086</v>
      </c>
    </row>
    <row r="65" spans="1:4" x14ac:dyDescent="0.2">
      <c r="A65" s="3" t="s">
        <v>298</v>
      </c>
      <c r="B65" s="19">
        <f>+'Unrestricted fund bal'!C29</f>
        <v>1735734</v>
      </c>
      <c r="C65" s="3" t="s">
        <v>298</v>
      </c>
      <c r="D65" s="5">
        <f t="shared" si="4"/>
        <v>0.10280712866075839</v>
      </c>
    </row>
    <row r="66" spans="1:4" x14ac:dyDescent="0.2">
      <c r="A66" s="3" t="s">
        <v>237</v>
      </c>
      <c r="B66" s="19">
        <f>+'Unrestricted fund bal'!C32</f>
        <v>1743798.7564132037</v>
      </c>
      <c r="C66" s="3" t="s">
        <v>237</v>
      </c>
      <c r="D66" s="5">
        <f t="shared" si="4"/>
        <v>0.10328480234243421</v>
      </c>
    </row>
    <row r="67" spans="1:4" x14ac:dyDescent="0.2">
      <c r="A67" s="3" t="s">
        <v>238</v>
      </c>
      <c r="B67" s="19">
        <f>+'Unrestricted fund bal'!C34</f>
        <v>404379</v>
      </c>
      <c r="C67" t="s">
        <v>211</v>
      </c>
      <c r="D67" s="5">
        <f t="shared" si="4"/>
        <v>2.3951275875628879E-2</v>
      </c>
    </row>
    <row r="68" spans="1:4" x14ac:dyDescent="0.2">
      <c r="A68" s="3" t="s">
        <v>47</v>
      </c>
      <c r="B68" s="6">
        <f>SUM(B60:B67)</f>
        <v>16883401.205840036</v>
      </c>
    </row>
  </sheetData>
  <customSheetViews>
    <customSheetView guid="{8970DFA1-A026-4639-BD60-39EC20285CCC}" showRuler="0">
      <selection activeCell="L42" sqref="L42"/>
    </customSheetView>
    <customSheetView guid="{AADB8EA3-75F0-4468-B5D5-C7110D6EC38B}" showRuler="0">
      <selection activeCell="L42" sqref="L42"/>
      <pageMargins left="0" right="0" top="0" bottom="0" header="0" footer="0"/>
      <pageSetup orientation="portrait" r:id="rId1"/>
      <headerFooter alignWithMargins="0"/>
    </customSheetView>
    <customSheetView guid="{1D9F4367-0C2F-46F1-9E55-939D20D76F5B}" showRuler="0">
      <selection activeCell="L42" sqref="L42"/>
      <pageMargins left="0" right="0" top="0" bottom="0" header="0" footer="0"/>
      <pageSetup orientation="portrait" r:id="rId2"/>
      <headerFooter alignWithMargins="0"/>
    </customSheetView>
    <customSheetView guid="{921A7AC6-7D1A-435F-A825-B8B8C1A90F20}" showRuler="0">
      <selection activeCell="L42" sqref="L42"/>
      <pageMargins left="0" right="0" top="0" bottom="0" header="0" footer="0"/>
      <pageSetup orientation="portrait" r:id="rId3"/>
      <headerFooter alignWithMargins="0"/>
    </customSheetView>
    <customSheetView guid="{ED9CD846-0F6B-4BF7-A940-412E425E8FCE}" showRuler="0">
      <selection activeCell="L42" sqref="L42"/>
      <pageMargins left="0" right="0" top="0" bottom="0" header="0" footer="0"/>
      <pageSetup orientation="portrait" r:id="rId4"/>
      <headerFooter alignWithMargins="0"/>
    </customSheetView>
    <customSheetView guid="{497CB486-623F-41B0-B370-EF2A82E78B1D}" showRuler="0">
      <selection activeCell="L42" sqref="L42"/>
      <pageMargins left="0" right="0" top="0" bottom="0" header="0" footer="0"/>
      <pageSetup orientation="portrait" r:id="rId5"/>
      <headerFooter alignWithMargins="0"/>
    </customSheetView>
    <customSheetView guid="{20CF2976-B2A7-4F04-88DC-0AB25CA8A6C6}" showRuler="0">
      <selection activeCell="L42" sqref="L42"/>
      <pageMargins left="0" right="0" top="0" bottom="0" header="0" footer="0"/>
      <pageSetup orientation="portrait" r:id="rId6"/>
      <headerFooter alignWithMargins="0"/>
    </customSheetView>
    <customSheetView guid="{CB724201-FBEC-4626-9DD9-AEC98BB80DB0}" showRuler="0">
      <selection activeCell="L42" sqref="L42"/>
      <pageMargins left="0" right="0" top="0" bottom="0" header="0" footer="0"/>
      <pageSetup orientation="portrait" r:id="rId7"/>
      <headerFooter alignWithMargins="0"/>
    </customSheetView>
  </customSheetViews>
  <phoneticPr fontId="0" type="noConversion"/>
  <printOptions horizontalCentered="1"/>
  <pageMargins left="0.5" right="0.5" top="0.75" bottom="0.5" header="0.5" footer="0.5"/>
  <pageSetup scale="83" orientation="portrait" r:id="rId8"/>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4:H66"/>
  <sheetViews>
    <sheetView showOutlineSymbols="0" workbookViewId="0"/>
  </sheetViews>
  <sheetFormatPr defaultRowHeight="12.75" x14ac:dyDescent="0.2"/>
  <cols>
    <col min="1" max="1" width="26.140625" customWidth="1"/>
    <col min="2" max="2" width="10.28515625" customWidth="1"/>
    <col min="5" max="5" width="11.28515625" customWidth="1"/>
    <col min="7" max="8" width="0" hidden="1" customWidth="1"/>
  </cols>
  <sheetData>
    <row r="4" spans="1:8" x14ac:dyDescent="0.2">
      <c r="A4" s="6"/>
      <c r="B4" s="6"/>
      <c r="C4" s="6"/>
      <c r="D4" s="6"/>
      <c r="E4" s="6"/>
      <c r="F4" s="6"/>
      <c r="G4" s="6"/>
      <c r="H4" s="6"/>
    </row>
    <row r="5" spans="1:8" x14ac:dyDescent="0.2">
      <c r="A5" s="6" t="e">
        <f>#REF!</f>
        <v>#REF!</v>
      </c>
      <c r="B5" s="6"/>
      <c r="C5" s="6" t="s">
        <v>40</v>
      </c>
      <c r="D5" s="6" t="s">
        <v>41</v>
      </c>
      <c r="E5" s="6">
        <v>911</v>
      </c>
      <c r="F5" s="9" t="s">
        <v>42</v>
      </c>
      <c r="G5" s="6" t="s">
        <v>41</v>
      </c>
      <c r="H5" s="6" t="s">
        <v>43</v>
      </c>
    </row>
    <row r="6" spans="1:8" x14ac:dyDescent="0.2">
      <c r="A6" s="6"/>
      <c r="B6" s="6">
        <v>300</v>
      </c>
      <c r="C6" s="6">
        <v>301</v>
      </c>
      <c r="D6" s="6">
        <v>302</v>
      </c>
      <c r="E6" s="6">
        <v>303</v>
      </c>
      <c r="F6" s="6">
        <v>304</v>
      </c>
      <c r="G6" s="6"/>
      <c r="H6" s="6"/>
    </row>
    <row r="7" spans="1:8" x14ac:dyDescent="0.2">
      <c r="A7" s="6" t="e">
        <f>#REF!</f>
        <v>#REF!</v>
      </c>
      <c r="B7" s="6" t="e">
        <f>#REF!</f>
        <v>#REF!</v>
      </c>
      <c r="C7" s="6" t="e">
        <f>+#REF!+#REF!+#REF!</f>
        <v>#REF!</v>
      </c>
      <c r="D7" s="6" t="e">
        <f>+G7+H7</f>
        <v>#REF!</v>
      </c>
      <c r="E7" s="6" t="e">
        <f>#REF!</f>
        <v>#REF!</v>
      </c>
      <c r="F7" s="6" t="e">
        <f>#REF!</f>
        <v>#REF!</v>
      </c>
      <c r="G7" s="6" t="e">
        <f>#REF!</f>
        <v>#REF!</v>
      </c>
      <c r="H7" s="6" t="e">
        <f>#REF!</f>
        <v>#REF!</v>
      </c>
    </row>
    <row r="8" spans="1:8" x14ac:dyDescent="0.2">
      <c r="A8" s="6" t="e">
        <f>#REF!</f>
        <v>#REF!</v>
      </c>
      <c r="B8" s="6" t="e">
        <f>#REF!</f>
        <v>#REF!</v>
      </c>
      <c r="C8" s="6" t="e">
        <f>+#REF!+#REF!+#REF!</f>
        <v>#REF!</v>
      </c>
      <c r="D8" s="6" t="e">
        <f t="shared" ref="D8:D65" si="0">+G8+H8</f>
        <v>#REF!</v>
      </c>
      <c r="E8" s="6" t="e">
        <f>#REF!</f>
        <v>#REF!</v>
      </c>
      <c r="F8" s="6" t="e">
        <f>#REF!</f>
        <v>#REF!</v>
      </c>
      <c r="G8" s="6" t="e">
        <f>#REF!</f>
        <v>#REF!</v>
      </c>
      <c r="H8" s="6" t="e">
        <f>#REF!</f>
        <v>#REF!</v>
      </c>
    </row>
    <row r="9" spans="1:8" x14ac:dyDescent="0.2">
      <c r="A9" s="6" t="e">
        <f>#REF!</f>
        <v>#REF!</v>
      </c>
      <c r="B9" s="6" t="e">
        <f>#REF!</f>
        <v>#REF!</v>
      </c>
      <c r="C9" s="6" t="e">
        <f>+#REF!+#REF!+#REF!</f>
        <v>#REF!</v>
      </c>
      <c r="D9" s="6" t="e">
        <f t="shared" si="0"/>
        <v>#REF!</v>
      </c>
      <c r="E9" s="6" t="e">
        <f>#REF!</f>
        <v>#REF!</v>
      </c>
      <c r="F9" s="6" t="e">
        <f>#REF!</f>
        <v>#REF!</v>
      </c>
      <c r="G9" s="6" t="e">
        <f>#REF!</f>
        <v>#REF!</v>
      </c>
      <c r="H9" s="6" t="e">
        <f>#REF!</f>
        <v>#REF!</v>
      </c>
    </row>
    <row r="10" spans="1:8" x14ac:dyDescent="0.2">
      <c r="A10" s="6" t="e">
        <f>#REF!</f>
        <v>#REF!</v>
      </c>
      <c r="B10" s="6" t="e">
        <f>#REF!</f>
        <v>#REF!</v>
      </c>
      <c r="C10" s="6" t="e">
        <f>+#REF!+#REF!+#REF!</f>
        <v>#REF!</v>
      </c>
      <c r="D10" s="6" t="e">
        <f t="shared" si="0"/>
        <v>#REF!</v>
      </c>
      <c r="E10" s="6" t="e">
        <f>#REF!</f>
        <v>#REF!</v>
      </c>
      <c r="F10" s="6" t="e">
        <f>#REF!</f>
        <v>#REF!</v>
      </c>
      <c r="G10" s="6" t="e">
        <f>#REF!</f>
        <v>#REF!</v>
      </c>
      <c r="H10" s="6" t="e">
        <f>#REF!</f>
        <v>#REF!</v>
      </c>
    </row>
    <row r="11" spans="1:8" x14ac:dyDescent="0.2">
      <c r="A11" s="6" t="e">
        <f>#REF!</f>
        <v>#REF!</v>
      </c>
      <c r="B11" s="6" t="e">
        <f>#REF!</f>
        <v>#REF!</v>
      </c>
      <c r="C11" s="6" t="e">
        <f>+#REF!+#REF!+#REF!</f>
        <v>#REF!</v>
      </c>
      <c r="D11" s="6" t="e">
        <f t="shared" si="0"/>
        <v>#REF!</v>
      </c>
      <c r="E11" s="6" t="e">
        <f>#REF!</f>
        <v>#REF!</v>
      </c>
      <c r="F11" s="6" t="e">
        <f>#REF!</f>
        <v>#REF!</v>
      </c>
      <c r="G11" s="6" t="e">
        <f>#REF!</f>
        <v>#REF!</v>
      </c>
      <c r="H11" s="6" t="e">
        <f>#REF!</f>
        <v>#REF!</v>
      </c>
    </row>
    <row r="12" spans="1:8" x14ac:dyDescent="0.2">
      <c r="A12" s="6" t="e">
        <f>#REF!</f>
        <v>#REF!</v>
      </c>
      <c r="B12" s="6" t="e">
        <f>#REF!</f>
        <v>#REF!</v>
      </c>
      <c r="C12" s="6" t="e">
        <f>+#REF!+#REF!+#REF!</f>
        <v>#REF!</v>
      </c>
      <c r="D12" s="6" t="e">
        <f t="shared" si="0"/>
        <v>#REF!</v>
      </c>
      <c r="E12" s="6" t="e">
        <f>#REF!</f>
        <v>#REF!</v>
      </c>
      <c r="F12" s="6" t="e">
        <f>#REF!</f>
        <v>#REF!</v>
      </c>
      <c r="G12" s="6" t="e">
        <f>#REF!</f>
        <v>#REF!</v>
      </c>
      <c r="H12" s="6" t="e">
        <f>#REF!</f>
        <v>#REF!</v>
      </c>
    </row>
    <row r="13" spans="1:8" x14ac:dyDescent="0.2">
      <c r="A13" s="6" t="e">
        <f>#REF!</f>
        <v>#REF!</v>
      </c>
      <c r="B13" s="6" t="e">
        <f>#REF!</f>
        <v>#REF!</v>
      </c>
      <c r="C13" s="6" t="e">
        <f>+#REF!+#REF!+#REF!</f>
        <v>#REF!</v>
      </c>
      <c r="D13" s="6" t="e">
        <f t="shared" si="0"/>
        <v>#REF!</v>
      </c>
      <c r="E13" s="6" t="e">
        <f>#REF!</f>
        <v>#REF!</v>
      </c>
      <c r="F13" s="6" t="e">
        <f>#REF!</f>
        <v>#REF!</v>
      </c>
      <c r="G13" s="6" t="e">
        <f>#REF!</f>
        <v>#REF!</v>
      </c>
      <c r="H13" s="6" t="e">
        <f>#REF!</f>
        <v>#REF!</v>
      </c>
    </row>
    <row r="14" spans="1:8" x14ac:dyDescent="0.2">
      <c r="A14" s="6" t="e">
        <f>#REF!</f>
        <v>#REF!</v>
      </c>
      <c r="B14" s="6" t="e">
        <f>#REF!</f>
        <v>#REF!</v>
      </c>
      <c r="C14" s="6" t="e">
        <f>+#REF!+#REF!+#REF!</f>
        <v>#REF!</v>
      </c>
      <c r="D14" s="6" t="e">
        <f t="shared" si="0"/>
        <v>#REF!</v>
      </c>
      <c r="E14" s="6" t="e">
        <f>#REF!</f>
        <v>#REF!</v>
      </c>
      <c r="F14" s="6" t="e">
        <f>#REF!</f>
        <v>#REF!</v>
      </c>
      <c r="G14" s="6" t="e">
        <f>#REF!</f>
        <v>#REF!</v>
      </c>
      <c r="H14" s="6" t="e">
        <f>#REF!</f>
        <v>#REF!</v>
      </c>
    </row>
    <row r="15" spans="1:8" x14ac:dyDescent="0.2">
      <c r="A15" s="6" t="e">
        <f>#REF!</f>
        <v>#REF!</v>
      </c>
      <c r="B15" s="6" t="e">
        <f>#REF!</f>
        <v>#REF!</v>
      </c>
      <c r="C15" s="6" t="e">
        <f>+#REF!+#REF!+#REF!</f>
        <v>#REF!</v>
      </c>
      <c r="D15" s="6" t="e">
        <f t="shared" si="0"/>
        <v>#REF!</v>
      </c>
      <c r="E15" s="6" t="e">
        <f>#REF!</f>
        <v>#REF!</v>
      </c>
      <c r="F15" s="6" t="e">
        <f>#REF!</f>
        <v>#REF!</v>
      </c>
      <c r="G15" s="6" t="e">
        <f>#REF!</f>
        <v>#REF!</v>
      </c>
      <c r="H15" s="6" t="e">
        <f>#REF!</f>
        <v>#REF!</v>
      </c>
    </row>
    <row r="16" spans="1:8" x14ac:dyDescent="0.2">
      <c r="A16" s="6" t="e">
        <f>#REF!</f>
        <v>#REF!</v>
      </c>
      <c r="B16" s="6" t="e">
        <f>#REF!</f>
        <v>#REF!</v>
      </c>
      <c r="C16" s="6" t="e">
        <f>+#REF!+#REF!+#REF!</f>
        <v>#REF!</v>
      </c>
      <c r="D16" s="6" t="e">
        <f t="shared" si="0"/>
        <v>#REF!</v>
      </c>
      <c r="E16" s="6" t="e">
        <f>#REF!</f>
        <v>#REF!</v>
      </c>
      <c r="F16" s="6" t="e">
        <f>#REF!</f>
        <v>#REF!</v>
      </c>
      <c r="G16" s="6" t="e">
        <f>#REF!</f>
        <v>#REF!</v>
      </c>
      <c r="H16" s="6" t="e">
        <f>#REF!</f>
        <v>#REF!</v>
      </c>
    </row>
    <row r="17" spans="1:8" x14ac:dyDescent="0.2">
      <c r="A17" s="6" t="e">
        <f>#REF!</f>
        <v>#REF!</v>
      </c>
      <c r="B17" s="6" t="e">
        <f>#REF!</f>
        <v>#REF!</v>
      </c>
      <c r="C17" s="6" t="e">
        <f>+#REF!+#REF!+#REF!</f>
        <v>#REF!</v>
      </c>
      <c r="D17" s="6" t="e">
        <f t="shared" si="0"/>
        <v>#REF!</v>
      </c>
      <c r="E17" s="6" t="e">
        <f>#REF!</f>
        <v>#REF!</v>
      </c>
      <c r="F17" s="6" t="e">
        <f>#REF!</f>
        <v>#REF!</v>
      </c>
      <c r="G17" s="6" t="e">
        <f>#REF!</f>
        <v>#REF!</v>
      </c>
      <c r="H17" s="6" t="e">
        <f>#REF!</f>
        <v>#REF!</v>
      </c>
    </row>
    <row r="18" spans="1:8" x14ac:dyDescent="0.2">
      <c r="A18" s="6"/>
      <c r="B18" s="6" t="e">
        <f>#REF!</f>
        <v>#REF!</v>
      </c>
      <c r="C18" s="6" t="e">
        <f>+#REF!+#REF!+#REF!</f>
        <v>#REF!</v>
      </c>
      <c r="D18" s="6" t="e">
        <f t="shared" si="0"/>
        <v>#REF!</v>
      </c>
      <c r="E18" s="6" t="e">
        <f>#REF!</f>
        <v>#REF!</v>
      </c>
      <c r="F18" s="6" t="e">
        <f>#REF!</f>
        <v>#REF!</v>
      </c>
      <c r="G18" s="6" t="e">
        <f>#REF!</f>
        <v>#REF!</v>
      </c>
      <c r="H18" s="6" t="e">
        <f>#REF!</f>
        <v>#REF!</v>
      </c>
    </row>
    <row r="19" spans="1:8" x14ac:dyDescent="0.2">
      <c r="A19" s="6" t="e">
        <f>#REF!</f>
        <v>#REF!</v>
      </c>
      <c r="B19" s="6" t="e">
        <f>#REF!</f>
        <v>#REF!</v>
      </c>
      <c r="C19" s="6" t="e">
        <f>+#REF!+#REF!+#REF!</f>
        <v>#REF!</v>
      </c>
      <c r="D19" s="6" t="e">
        <f t="shared" si="0"/>
        <v>#REF!</v>
      </c>
      <c r="E19" s="6" t="e">
        <f>#REF!</f>
        <v>#REF!</v>
      </c>
      <c r="F19" s="6" t="e">
        <f>#REF!</f>
        <v>#REF!</v>
      </c>
      <c r="G19" s="6" t="e">
        <f>#REF!</f>
        <v>#REF!</v>
      </c>
      <c r="H19" s="6" t="e">
        <f>#REF!</f>
        <v>#REF!</v>
      </c>
    </row>
    <row r="20" spans="1:8" x14ac:dyDescent="0.2">
      <c r="A20" s="6" t="e">
        <f>#REF!</f>
        <v>#REF!</v>
      </c>
      <c r="B20" s="6" t="e">
        <f>#REF!</f>
        <v>#REF!</v>
      </c>
      <c r="C20" s="6" t="e">
        <f>+#REF!+#REF!+#REF!</f>
        <v>#REF!</v>
      </c>
      <c r="D20" s="6" t="e">
        <f t="shared" si="0"/>
        <v>#REF!</v>
      </c>
      <c r="E20" s="6" t="e">
        <f>#REF!</f>
        <v>#REF!</v>
      </c>
      <c r="F20" s="6" t="e">
        <f>#REF!</f>
        <v>#REF!</v>
      </c>
      <c r="G20" s="6" t="e">
        <f>#REF!</f>
        <v>#REF!</v>
      </c>
      <c r="H20" s="6" t="e">
        <f>#REF!</f>
        <v>#REF!</v>
      </c>
    </row>
    <row r="21" spans="1:8" x14ac:dyDescent="0.2">
      <c r="A21" s="6" t="e">
        <f>#REF!</f>
        <v>#REF!</v>
      </c>
      <c r="B21" s="6" t="e">
        <f>#REF!</f>
        <v>#REF!</v>
      </c>
      <c r="C21" s="6" t="e">
        <f>+#REF!+#REF!+#REF!</f>
        <v>#REF!</v>
      </c>
      <c r="D21" s="6" t="e">
        <f t="shared" si="0"/>
        <v>#REF!</v>
      </c>
      <c r="E21" s="6" t="e">
        <f>#REF!</f>
        <v>#REF!</v>
      </c>
      <c r="F21" s="6" t="e">
        <f>#REF!</f>
        <v>#REF!</v>
      </c>
      <c r="G21" s="6" t="e">
        <f>#REF!</f>
        <v>#REF!</v>
      </c>
      <c r="H21" s="6" t="e">
        <f>#REF!</f>
        <v>#REF!</v>
      </c>
    </row>
    <row r="22" spans="1:8" x14ac:dyDescent="0.2">
      <c r="A22" s="6" t="e">
        <f>#REF!</f>
        <v>#REF!</v>
      </c>
      <c r="B22" s="6" t="e">
        <f>#REF!</f>
        <v>#REF!</v>
      </c>
      <c r="C22" s="6" t="e">
        <f>+#REF!+#REF!+#REF!</f>
        <v>#REF!</v>
      </c>
      <c r="D22" s="6" t="e">
        <f t="shared" si="0"/>
        <v>#REF!</v>
      </c>
      <c r="E22" s="6" t="e">
        <f>#REF!</f>
        <v>#REF!</v>
      </c>
      <c r="F22" s="6" t="e">
        <f>#REF!</f>
        <v>#REF!</v>
      </c>
      <c r="G22" s="6" t="e">
        <f>#REF!</f>
        <v>#REF!</v>
      </c>
      <c r="H22" s="6" t="e">
        <f>#REF!</f>
        <v>#REF!</v>
      </c>
    </row>
    <row r="23" spans="1:8" x14ac:dyDescent="0.2">
      <c r="A23" s="6" t="e">
        <f>#REF!</f>
        <v>#REF!</v>
      </c>
      <c r="B23" s="6" t="e">
        <f>#REF!</f>
        <v>#REF!</v>
      </c>
      <c r="C23" s="6" t="e">
        <f>+#REF!+#REF!+#REF!</f>
        <v>#REF!</v>
      </c>
      <c r="D23" s="6" t="e">
        <f t="shared" si="0"/>
        <v>#REF!</v>
      </c>
      <c r="E23" s="6" t="e">
        <f>#REF!</f>
        <v>#REF!</v>
      </c>
      <c r="F23" s="6" t="e">
        <f>#REF!</f>
        <v>#REF!</v>
      </c>
      <c r="G23" s="6" t="e">
        <f>#REF!</f>
        <v>#REF!</v>
      </c>
      <c r="H23" s="6" t="e">
        <f>#REF!</f>
        <v>#REF!</v>
      </c>
    </row>
    <row r="24" spans="1:8" x14ac:dyDescent="0.2">
      <c r="A24" s="6" t="e">
        <f>#REF!</f>
        <v>#REF!</v>
      </c>
      <c r="B24" s="6" t="e">
        <f>#REF!</f>
        <v>#REF!</v>
      </c>
      <c r="C24" s="6" t="e">
        <f>+#REF!+#REF!+#REF!</f>
        <v>#REF!</v>
      </c>
      <c r="D24" s="6" t="e">
        <f t="shared" si="0"/>
        <v>#REF!</v>
      </c>
      <c r="E24" s="6" t="e">
        <f>#REF!</f>
        <v>#REF!</v>
      </c>
      <c r="F24" s="6" t="e">
        <f>#REF!</f>
        <v>#REF!</v>
      </c>
      <c r="G24" s="6" t="e">
        <f>#REF!</f>
        <v>#REF!</v>
      </c>
      <c r="H24" s="6" t="e">
        <f>#REF!</f>
        <v>#REF!</v>
      </c>
    </row>
    <row r="25" spans="1:8" x14ac:dyDescent="0.2">
      <c r="A25" s="6"/>
      <c r="B25" s="6" t="e">
        <f>#REF!</f>
        <v>#REF!</v>
      </c>
      <c r="C25" s="6" t="e">
        <f>+#REF!+#REF!+#REF!</f>
        <v>#REF!</v>
      </c>
      <c r="D25" s="6" t="e">
        <f t="shared" si="0"/>
        <v>#REF!</v>
      </c>
      <c r="E25" s="6" t="e">
        <f>#REF!</f>
        <v>#REF!</v>
      </c>
      <c r="F25" s="6" t="e">
        <f>#REF!</f>
        <v>#REF!</v>
      </c>
      <c r="G25" s="6" t="e">
        <f>#REF!</f>
        <v>#REF!</v>
      </c>
      <c r="H25" s="6" t="e">
        <f>#REF!</f>
        <v>#REF!</v>
      </c>
    </row>
    <row r="26" spans="1:8" x14ac:dyDescent="0.2">
      <c r="A26" s="6" t="e">
        <f>#REF!</f>
        <v>#REF!</v>
      </c>
      <c r="B26" s="6" t="e">
        <f>#REF!</f>
        <v>#REF!</v>
      </c>
      <c r="C26" s="6" t="e">
        <f>+#REF!+#REF!+#REF!</f>
        <v>#REF!</v>
      </c>
      <c r="D26" s="6" t="e">
        <f t="shared" si="0"/>
        <v>#REF!</v>
      </c>
      <c r="E26" s="6" t="e">
        <f>#REF!</f>
        <v>#REF!</v>
      </c>
      <c r="F26" s="6" t="e">
        <f>#REF!</f>
        <v>#REF!</v>
      </c>
      <c r="G26" s="6" t="e">
        <f>#REF!</f>
        <v>#REF!</v>
      </c>
      <c r="H26" s="6" t="e">
        <f>#REF!</f>
        <v>#REF!</v>
      </c>
    </row>
    <row r="27" spans="1:8" x14ac:dyDescent="0.2">
      <c r="A27" s="6"/>
      <c r="B27" s="6" t="e">
        <f>#REF!</f>
        <v>#REF!</v>
      </c>
      <c r="C27" s="6" t="e">
        <f>+#REF!+#REF!+#REF!</f>
        <v>#REF!</v>
      </c>
      <c r="D27" s="6" t="e">
        <f t="shared" si="0"/>
        <v>#REF!</v>
      </c>
      <c r="E27" s="6" t="e">
        <f>#REF!</f>
        <v>#REF!</v>
      </c>
      <c r="F27" s="6" t="e">
        <f>#REF!</f>
        <v>#REF!</v>
      </c>
      <c r="G27" s="6" t="e">
        <f>#REF!</f>
        <v>#REF!</v>
      </c>
      <c r="H27" s="6" t="e">
        <f>#REF!</f>
        <v>#REF!</v>
      </c>
    </row>
    <row r="28" spans="1:8" x14ac:dyDescent="0.2">
      <c r="A28" s="6" t="s">
        <v>0</v>
      </c>
      <c r="B28" s="6" t="e">
        <f>#REF!</f>
        <v>#REF!</v>
      </c>
      <c r="C28" s="6" t="e">
        <f>+#REF!+#REF!+#REF!</f>
        <v>#REF!</v>
      </c>
      <c r="D28" s="6" t="e">
        <f t="shared" si="0"/>
        <v>#REF!</v>
      </c>
      <c r="E28" s="6" t="e">
        <f>#REF!</f>
        <v>#REF!</v>
      </c>
      <c r="F28" s="6" t="e">
        <f>#REF!</f>
        <v>#REF!</v>
      </c>
      <c r="G28" s="6" t="e">
        <f>#REF!</f>
        <v>#REF!</v>
      </c>
      <c r="H28" s="6" t="e">
        <f>#REF!</f>
        <v>#REF!</v>
      </c>
    </row>
    <row r="29" spans="1:8" x14ac:dyDescent="0.2">
      <c r="A29" s="6" t="s">
        <v>1</v>
      </c>
      <c r="B29" s="6" t="e">
        <f>#REF!</f>
        <v>#REF!</v>
      </c>
      <c r="C29" s="6" t="e">
        <f>+#REF!+#REF!+#REF!</f>
        <v>#REF!</v>
      </c>
      <c r="D29" s="6" t="e">
        <f t="shared" si="0"/>
        <v>#REF!</v>
      </c>
      <c r="E29" s="6" t="e">
        <f>#REF!</f>
        <v>#REF!</v>
      </c>
      <c r="F29" s="6" t="e">
        <f>#REF!</f>
        <v>#REF!</v>
      </c>
      <c r="G29" s="6" t="e">
        <f>#REF!</f>
        <v>#REF!</v>
      </c>
      <c r="H29" s="6" t="e">
        <f>#REF!</f>
        <v>#REF!</v>
      </c>
    </row>
    <row r="30" spans="1:8" x14ac:dyDescent="0.2">
      <c r="A30" s="6" t="s">
        <v>44</v>
      </c>
      <c r="B30" s="6" t="e">
        <f>#REF!</f>
        <v>#REF!</v>
      </c>
      <c r="C30" s="6" t="e">
        <f>+#REF!+#REF!+#REF!</f>
        <v>#REF!</v>
      </c>
      <c r="D30" s="6" t="e">
        <f t="shared" si="0"/>
        <v>#REF!</v>
      </c>
      <c r="E30" s="6" t="e">
        <f>#REF!</f>
        <v>#REF!</v>
      </c>
      <c r="F30" s="6" t="e">
        <f>#REF!</f>
        <v>#REF!</v>
      </c>
      <c r="G30" s="6" t="e">
        <f>#REF!</f>
        <v>#REF!</v>
      </c>
      <c r="H30" s="6" t="e">
        <f>#REF!</f>
        <v>#REF!</v>
      </c>
    </row>
    <row r="31" spans="1:8" x14ac:dyDescent="0.2">
      <c r="A31" s="6" t="s">
        <v>45</v>
      </c>
      <c r="B31" s="6" t="e">
        <f>#REF!</f>
        <v>#REF!</v>
      </c>
      <c r="C31" s="6" t="e">
        <f>+#REF!+#REF!+#REF!</f>
        <v>#REF!</v>
      </c>
      <c r="D31" s="6" t="e">
        <f t="shared" si="0"/>
        <v>#REF!</v>
      </c>
      <c r="E31" s="6" t="e">
        <f>#REF!</f>
        <v>#REF!</v>
      </c>
      <c r="F31" s="6" t="e">
        <f>#REF!</f>
        <v>#REF!</v>
      </c>
      <c r="G31" s="6" t="e">
        <f>#REF!</f>
        <v>#REF!</v>
      </c>
      <c r="H31" s="6" t="e">
        <f>#REF!</f>
        <v>#REF!</v>
      </c>
    </row>
    <row r="32" spans="1:8" x14ac:dyDescent="0.2">
      <c r="A32" s="6" t="s">
        <v>2</v>
      </c>
      <c r="B32" s="6" t="e">
        <f>#REF!</f>
        <v>#REF!</v>
      </c>
      <c r="C32" s="6" t="e">
        <f>+#REF!+#REF!+#REF!</f>
        <v>#REF!</v>
      </c>
      <c r="D32" s="6" t="e">
        <f t="shared" si="0"/>
        <v>#REF!</v>
      </c>
      <c r="E32" s="6" t="e">
        <f>#REF!</f>
        <v>#REF!</v>
      </c>
      <c r="F32" s="6" t="e">
        <f>#REF!</f>
        <v>#REF!</v>
      </c>
      <c r="G32" s="6" t="e">
        <f>#REF!</f>
        <v>#REF!</v>
      </c>
      <c r="H32" s="6" t="e">
        <f>#REF!</f>
        <v>#REF!</v>
      </c>
    </row>
    <row r="33" spans="1:8" x14ac:dyDescent="0.2">
      <c r="A33" s="6" t="s">
        <v>6</v>
      </c>
      <c r="B33" s="6" t="e">
        <f>#REF!</f>
        <v>#REF!</v>
      </c>
      <c r="C33" s="6" t="e">
        <f>+#REF!+#REF!+#REF!</f>
        <v>#REF!</v>
      </c>
      <c r="D33" s="6" t="e">
        <f t="shared" si="0"/>
        <v>#REF!</v>
      </c>
      <c r="E33" s="6" t="e">
        <f>#REF!</f>
        <v>#REF!</v>
      </c>
      <c r="F33" s="6" t="e">
        <f>#REF!</f>
        <v>#REF!</v>
      </c>
      <c r="G33" s="6" t="e">
        <f>#REF!</f>
        <v>#REF!</v>
      </c>
      <c r="H33" s="6" t="e">
        <f>#REF!</f>
        <v>#REF!</v>
      </c>
    </row>
    <row r="34" spans="1:8" x14ac:dyDescent="0.2">
      <c r="A34" s="6" t="s">
        <v>7</v>
      </c>
      <c r="B34" s="6" t="e">
        <f>#REF!</f>
        <v>#REF!</v>
      </c>
      <c r="C34" s="6" t="e">
        <f>+#REF!+#REF!+#REF!</f>
        <v>#REF!</v>
      </c>
      <c r="D34" s="6" t="e">
        <f t="shared" si="0"/>
        <v>#REF!</v>
      </c>
      <c r="E34" s="6" t="e">
        <f>#REF!</f>
        <v>#REF!</v>
      </c>
      <c r="F34" s="6" t="e">
        <f>#REF!</f>
        <v>#REF!</v>
      </c>
      <c r="G34" s="6" t="e">
        <f>#REF!</f>
        <v>#REF!</v>
      </c>
      <c r="H34" s="6" t="e">
        <f>#REF!</f>
        <v>#REF!</v>
      </c>
    </row>
    <row r="35" spans="1:8" x14ac:dyDescent="0.2">
      <c r="A35" s="6" t="s">
        <v>8</v>
      </c>
      <c r="B35" s="6" t="e">
        <f>#REF!</f>
        <v>#REF!</v>
      </c>
      <c r="C35" s="6" t="e">
        <f>+#REF!+#REF!+#REF!</f>
        <v>#REF!</v>
      </c>
      <c r="D35" s="6" t="e">
        <f t="shared" si="0"/>
        <v>#REF!</v>
      </c>
      <c r="E35" s="6" t="e">
        <f>#REF!</f>
        <v>#REF!</v>
      </c>
      <c r="F35" s="6" t="e">
        <f>#REF!</f>
        <v>#REF!</v>
      </c>
      <c r="G35" s="6" t="e">
        <f>#REF!</f>
        <v>#REF!</v>
      </c>
      <c r="H35" s="6" t="e">
        <f>#REF!</f>
        <v>#REF!</v>
      </c>
    </row>
    <row r="36" spans="1:8" x14ac:dyDescent="0.2">
      <c r="A36" s="6" t="s">
        <v>9</v>
      </c>
      <c r="B36" s="6" t="e">
        <f>#REF!</f>
        <v>#REF!</v>
      </c>
      <c r="C36" s="6" t="e">
        <f>+#REF!+#REF!+#REF!</f>
        <v>#REF!</v>
      </c>
      <c r="D36" s="6" t="e">
        <f t="shared" si="0"/>
        <v>#REF!</v>
      </c>
      <c r="E36" s="6" t="e">
        <f>#REF!</f>
        <v>#REF!</v>
      </c>
      <c r="F36" s="6" t="e">
        <f>#REF!</f>
        <v>#REF!</v>
      </c>
      <c r="G36" s="6" t="e">
        <f>#REF!</f>
        <v>#REF!</v>
      </c>
      <c r="H36" s="6" t="e">
        <f>#REF!</f>
        <v>#REF!</v>
      </c>
    </row>
    <row r="37" spans="1:8" x14ac:dyDescent="0.2">
      <c r="A37" s="6" t="s">
        <v>10</v>
      </c>
      <c r="B37" s="6" t="e">
        <f>#REF!</f>
        <v>#REF!</v>
      </c>
      <c r="C37" s="6" t="e">
        <f>+#REF!+#REF!+#REF!</f>
        <v>#REF!</v>
      </c>
      <c r="D37" s="6" t="e">
        <f t="shared" si="0"/>
        <v>#REF!</v>
      </c>
      <c r="E37" s="6" t="e">
        <f>#REF!</f>
        <v>#REF!</v>
      </c>
      <c r="F37" s="6" t="e">
        <f>#REF!</f>
        <v>#REF!</v>
      </c>
      <c r="G37" s="6" t="e">
        <f>#REF!</f>
        <v>#REF!</v>
      </c>
      <c r="H37" s="6" t="e">
        <f>#REF!</f>
        <v>#REF!</v>
      </c>
    </row>
    <row r="38" spans="1:8" x14ac:dyDescent="0.2">
      <c r="A38" s="6" t="s">
        <v>46</v>
      </c>
      <c r="B38" s="6" t="e">
        <f>#REF!</f>
        <v>#REF!</v>
      </c>
      <c r="C38" s="6" t="e">
        <f>+#REF!+#REF!+#REF!</f>
        <v>#REF!</v>
      </c>
      <c r="D38" s="6" t="e">
        <f t="shared" si="0"/>
        <v>#REF!</v>
      </c>
      <c r="E38" s="6" t="e">
        <f>#REF!</f>
        <v>#REF!</v>
      </c>
      <c r="F38" s="6" t="e">
        <f>#REF!</f>
        <v>#REF!</v>
      </c>
      <c r="G38" s="6" t="e">
        <f>#REF!</f>
        <v>#REF!</v>
      </c>
      <c r="H38" s="6" t="e">
        <f>#REF!</f>
        <v>#REF!</v>
      </c>
    </row>
    <row r="39" spans="1:8" x14ac:dyDescent="0.2">
      <c r="A39" s="6" t="s">
        <v>12</v>
      </c>
      <c r="B39" s="6" t="e">
        <f>#REF!</f>
        <v>#REF!</v>
      </c>
      <c r="C39" s="6" t="e">
        <f>+#REF!+#REF!</f>
        <v>#REF!</v>
      </c>
      <c r="D39" s="6" t="e">
        <f t="shared" si="0"/>
        <v>#REF!</v>
      </c>
      <c r="E39" s="6" t="e">
        <f>#REF!</f>
        <v>#REF!</v>
      </c>
      <c r="F39" s="6" t="e">
        <f>#REF!</f>
        <v>#REF!</v>
      </c>
      <c r="G39" s="6" t="e">
        <f>#REF!</f>
        <v>#REF!</v>
      </c>
      <c r="H39" s="6" t="e">
        <f>#REF!</f>
        <v>#REF!</v>
      </c>
    </row>
    <row r="40" spans="1:8" x14ac:dyDescent="0.2">
      <c r="A40" s="6" t="s">
        <v>13</v>
      </c>
      <c r="B40" s="6" t="e">
        <f>#REF!</f>
        <v>#REF!</v>
      </c>
      <c r="C40" s="6" t="e">
        <f>+#REF!+#REF!</f>
        <v>#REF!</v>
      </c>
      <c r="D40" s="6" t="e">
        <f t="shared" si="0"/>
        <v>#REF!</v>
      </c>
      <c r="E40" s="6" t="e">
        <f>#REF!</f>
        <v>#REF!</v>
      </c>
      <c r="F40" s="6" t="e">
        <f>#REF!</f>
        <v>#REF!</v>
      </c>
      <c r="G40" s="6" t="e">
        <f>#REF!</f>
        <v>#REF!</v>
      </c>
      <c r="H40" s="6" t="e">
        <f>#REF!</f>
        <v>#REF!</v>
      </c>
    </row>
    <row r="41" spans="1:8" x14ac:dyDescent="0.2">
      <c r="A41" s="6" t="s">
        <v>14</v>
      </c>
      <c r="B41" s="6" t="e">
        <f>#REF!</f>
        <v>#REF!</v>
      </c>
      <c r="C41" s="6" t="e">
        <f>+#REF!+#REF!</f>
        <v>#REF!</v>
      </c>
      <c r="D41" s="6" t="e">
        <f t="shared" si="0"/>
        <v>#REF!</v>
      </c>
      <c r="E41" s="6" t="e">
        <f>#REF!</f>
        <v>#REF!</v>
      </c>
      <c r="F41" s="6" t="e">
        <f>#REF!</f>
        <v>#REF!</v>
      </c>
      <c r="G41" s="6" t="e">
        <f>#REF!</f>
        <v>#REF!</v>
      </c>
      <c r="H41" s="6" t="e">
        <f>#REF!</f>
        <v>#REF!</v>
      </c>
    </row>
    <row r="42" spans="1:8" x14ac:dyDescent="0.2">
      <c r="A42" s="6" t="s">
        <v>15</v>
      </c>
      <c r="B42" s="6" t="e">
        <f>#REF!</f>
        <v>#REF!</v>
      </c>
      <c r="C42" s="6" t="e">
        <f>+#REF!+#REF!</f>
        <v>#REF!</v>
      </c>
      <c r="D42" s="6" t="e">
        <f t="shared" si="0"/>
        <v>#REF!</v>
      </c>
      <c r="E42" s="6" t="e">
        <f>#REF!</f>
        <v>#REF!</v>
      </c>
      <c r="F42" s="6" t="e">
        <f>#REF!</f>
        <v>#REF!</v>
      </c>
      <c r="G42" s="6" t="e">
        <f>#REF!</f>
        <v>#REF!</v>
      </c>
      <c r="H42" s="6" t="e">
        <f>#REF!</f>
        <v>#REF!</v>
      </c>
    </row>
    <row r="43" spans="1:8" x14ac:dyDescent="0.2">
      <c r="A43" s="6" t="s">
        <v>17</v>
      </c>
      <c r="B43" s="6" t="e">
        <f>#REF!</f>
        <v>#REF!</v>
      </c>
      <c r="C43" s="6" t="e">
        <f>+#REF!+#REF!</f>
        <v>#REF!</v>
      </c>
      <c r="D43" s="6" t="e">
        <f t="shared" si="0"/>
        <v>#REF!</v>
      </c>
      <c r="E43" s="6" t="e">
        <f>#REF!</f>
        <v>#REF!</v>
      </c>
      <c r="F43" s="6" t="e">
        <f>#REF!</f>
        <v>#REF!</v>
      </c>
      <c r="G43" s="6" t="e">
        <f>#REF!</f>
        <v>#REF!</v>
      </c>
      <c r="H43" s="6" t="e">
        <f>#REF!</f>
        <v>#REF!</v>
      </c>
    </row>
    <row r="44" spans="1:8" x14ac:dyDescent="0.2">
      <c r="A44" s="6" t="s">
        <v>18</v>
      </c>
      <c r="B44" s="6" t="e">
        <f>#REF!</f>
        <v>#REF!</v>
      </c>
      <c r="C44" s="6" t="e">
        <f>+#REF!+#REF!</f>
        <v>#REF!</v>
      </c>
      <c r="D44" s="6" t="e">
        <f t="shared" si="0"/>
        <v>#REF!</v>
      </c>
      <c r="E44" s="6" t="e">
        <f>#REF!</f>
        <v>#REF!</v>
      </c>
      <c r="F44" s="6" t="e">
        <f>#REF!</f>
        <v>#REF!</v>
      </c>
      <c r="G44" s="6" t="e">
        <f>#REF!</f>
        <v>#REF!</v>
      </c>
      <c r="H44" s="6" t="e">
        <f>#REF!</f>
        <v>#REF!</v>
      </c>
    </row>
    <row r="45" spans="1:8" x14ac:dyDescent="0.2">
      <c r="A45" s="6" t="s">
        <v>19</v>
      </c>
      <c r="B45" s="6" t="e">
        <f>#REF!</f>
        <v>#REF!</v>
      </c>
      <c r="C45" s="6" t="e">
        <f>+#REF!+#REF!</f>
        <v>#REF!</v>
      </c>
      <c r="D45" s="6" t="e">
        <f t="shared" si="0"/>
        <v>#REF!</v>
      </c>
      <c r="E45" s="6" t="e">
        <f>#REF!</f>
        <v>#REF!</v>
      </c>
      <c r="F45" s="6" t="e">
        <f>#REF!</f>
        <v>#REF!</v>
      </c>
      <c r="G45" s="6" t="e">
        <f>#REF!</f>
        <v>#REF!</v>
      </c>
      <c r="H45" s="6" t="e">
        <f>#REF!</f>
        <v>#REF!</v>
      </c>
    </row>
    <row r="46" spans="1:8" x14ac:dyDescent="0.2">
      <c r="A46" s="6" t="s">
        <v>20</v>
      </c>
      <c r="B46" s="6" t="e">
        <f>#REF!</f>
        <v>#REF!</v>
      </c>
      <c r="C46" s="6" t="e">
        <f>+#REF!+#REF!</f>
        <v>#REF!</v>
      </c>
      <c r="D46" s="6" t="e">
        <f t="shared" si="0"/>
        <v>#REF!</v>
      </c>
      <c r="E46" s="6" t="e">
        <f>#REF!</f>
        <v>#REF!</v>
      </c>
      <c r="F46" s="6" t="e">
        <f>#REF!</f>
        <v>#REF!</v>
      </c>
      <c r="G46" s="6" t="e">
        <f>#REF!</f>
        <v>#REF!</v>
      </c>
      <c r="H46" s="6" t="e">
        <f>#REF!</f>
        <v>#REF!</v>
      </c>
    </row>
    <row r="47" spans="1:8" x14ac:dyDescent="0.2">
      <c r="A47" s="6" t="s">
        <v>21</v>
      </c>
      <c r="B47" s="6" t="e">
        <f>#REF!</f>
        <v>#REF!</v>
      </c>
      <c r="C47" s="6" t="e">
        <f>+#REF!+#REF!</f>
        <v>#REF!</v>
      </c>
      <c r="D47" s="6" t="e">
        <f t="shared" si="0"/>
        <v>#REF!</v>
      </c>
      <c r="E47" s="6" t="e">
        <f>#REF!</f>
        <v>#REF!</v>
      </c>
      <c r="F47" s="6" t="e">
        <f>#REF!</f>
        <v>#REF!</v>
      </c>
      <c r="G47" s="6" t="e">
        <f>#REF!</f>
        <v>#REF!</v>
      </c>
      <c r="H47" s="6" t="e">
        <f>#REF!</f>
        <v>#REF!</v>
      </c>
    </row>
    <row r="48" spans="1:8" x14ac:dyDescent="0.2">
      <c r="A48" s="6" t="s">
        <v>22</v>
      </c>
      <c r="B48" s="6" t="e">
        <f>#REF!</f>
        <v>#REF!</v>
      </c>
      <c r="C48" s="6" t="e">
        <f>+#REF!+#REF!</f>
        <v>#REF!</v>
      </c>
      <c r="D48" s="6" t="e">
        <f t="shared" si="0"/>
        <v>#REF!</v>
      </c>
      <c r="E48" s="6" t="e">
        <f>#REF!</f>
        <v>#REF!</v>
      </c>
      <c r="F48" s="6" t="e">
        <f>#REF!</f>
        <v>#REF!</v>
      </c>
      <c r="G48" s="6" t="e">
        <f>#REF!</f>
        <v>#REF!</v>
      </c>
      <c r="H48" s="6" t="e">
        <f>#REF!</f>
        <v>#REF!</v>
      </c>
    </row>
    <row r="49" spans="1:8" x14ac:dyDescent="0.2">
      <c r="A49" s="6" t="s">
        <v>23</v>
      </c>
      <c r="B49" s="6" t="e">
        <f>#REF!</f>
        <v>#REF!</v>
      </c>
      <c r="C49" s="6" t="e">
        <f>+#REF!+#REF!</f>
        <v>#REF!</v>
      </c>
      <c r="D49" s="6" t="e">
        <f t="shared" si="0"/>
        <v>#REF!</v>
      </c>
      <c r="E49" s="6" t="e">
        <f>#REF!</f>
        <v>#REF!</v>
      </c>
      <c r="F49" s="6" t="e">
        <f>#REF!</f>
        <v>#REF!</v>
      </c>
      <c r="G49" s="6" t="e">
        <f>#REF!</f>
        <v>#REF!</v>
      </c>
      <c r="H49" s="6" t="e">
        <f>#REF!</f>
        <v>#REF!</v>
      </c>
    </row>
    <row r="50" spans="1:8" x14ac:dyDescent="0.2">
      <c r="A50" s="6" t="s">
        <v>24</v>
      </c>
      <c r="B50" s="6" t="e">
        <f>#REF!</f>
        <v>#REF!</v>
      </c>
      <c r="C50" s="6" t="e">
        <f>+#REF!+#REF!</f>
        <v>#REF!</v>
      </c>
      <c r="D50" s="6" t="e">
        <f t="shared" si="0"/>
        <v>#REF!</v>
      </c>
      <c r="E50" s="6" t="e">
        <f>#REF!</f>
        <v>#REF!</v>
      </c>
      <c r="F50" s="6" t="e">
        <f>#REF!</f>
        <v>#REF!</v>
      </c>
      <c r="G50" s="6" t="e">
        <f>#REF!</f>
        <v>#REF!</v>
      </c>
      <c r="H50" s="6" t="e">
        <f>#REF!</f>
        <v>#REF!</v>
      </c>
    </row>
    <row r="51" spans="1:8" x14ac:dyDescent="0.2">
      <c r="A51" s="6" t="s">
        <v>25</v>
      </c>
      <c r="B51" s="6" t="e">
        <f>#REF!</f>
        <v>#REF!</v>
      </c>
      <c r="C51" s="6" t="e">
        <f>+#REF!+#REF!</f>
        <v>#REF!</v>
      </c>
      <c r="D51" s="6" t="e">
        <f t="shared" si="0"/>
        <v>#REF!</v>
      </c>
      <c r="E51" s="6" t="e">
        <f>#REF!</f>
        <v>#REF!</v>
      </c>
      <c r="F51" s="6" t="e">
        <f>#REF!</f>
        <v>#REF!</v>
      </c>
      <c r="G51" s="6" t="e">
        <f>#REF!</f>
        <v>#REF!</v>
      </c>
      <c r="H51" s="6" t="e">
        <f>#REF!</f>
        <v>#REF!</v>
      </c>
    </row>
    <row r="52" spans="1:8" x14ac:dyDescent="0.2">
      <c r="A52" s="6" t="s">
        <v>26</v>
      </c>
      <c r="B52" s="6" t="e">
        <f>#REF!</f>
        <v>#REF!</v>
      </c>
      <c r="C52" s="6" t="e">
        <f>+#REF!+#REF!</f>
        <v>#REF!</v>
      </c>
      <c r="D52" s="6" t="e">
        <f t="shared" si="0"/>
        <v>#REF!</v>
      </c>
      <c r="E52" s="6" t="e">
        <f>#REF!</f>
        <v>#REF!</v>
      </c>
      <c r="F52" s="6" t="e">
        <f>#REF!</f>
        <v>#REF!</v>
      </c>
      <c r="G52" s="6" t="e">
        <f>#REF!</f>
        <v>#REF!</v>
      </c>
      <c r="H52" s="6" t="e">
        <f>#REF!</f>
        <v>#REF!</v>
      </c>
    </row>
    <row r="53" spans="1:8" x14ac:dyDescent="0.2">
      <c r="A53" s="6" t="s">
        <v>27</v>
      </c>
      <c r="B53" s="6" t="e">
        <f>#REF!</f>
        <v>#REF!</v>
      </c>
      <c r="C53" s="6" t="e">
        <f>+#REF!+#REF!</f>
        <v>#REF!</v>
      </c>
      <c r="D53" s="6" t="e">
        <f t="shared" si="0"/>
        <v>#REF!</v>
      </c>
      <c r="E53" s="6" t="e">
        <f>#REF!</f>
        <v>#REF!</v>
      </c>
      <c r="F53" s="6" t="e">
        <f>#REF!</f>
        <v>#REF!</v>
      </c>
      <c r="G53" s="6" t="e">
        <f>#REF!</f>
        <v>#REF!</v>
      </c>
      <c r="H53" s="6" t="e">
        <f>#REF!</f>
        <v>#REF!</v>
      </c>
    </row>
    <row r="54" spans="1:8" x14ac:dyDescent="0.2">
      <c r="A54" s="6" t="s">
        <v>28</v>
      </c>
      <c r="B54" s="6" t="e">
        <f>#REF!</f>
        <v>#REF!</v>
      </c>
      <c r="C54" s="6" t="e">
        <f>+#REF!+#REF!</f>
        <v>#REF!</v>
      </c>
      <c r="D54" s="6" t="e">
        <f t="shared" si="0"/>
        <v>#REF!</v>
      </c>
      <c r="E54" s="6" t="e">
        <f>#REF!</f>
        <v>#REF!</v>
      </c>
      <c r="F54" s="6" t="e">
        <f>#REF!</f>
        <v>#REF!</v>
      </c>
      <c r="G54" s="6" t="e">
        <f>#REF!</f>
        <v>#REF!</v>
      </c>
      <c r="H54" s="6" t="e">
        <f>#REF!</f>
        <v>#REF!</v>
      </c>
    </row>
    <row r="55" spans="1:8" x14ac:dyDescent="0.2">
      <c r="A55" s="6" t="s">
        <v>29</v>
      </c>
      <c r="B55" s="6" t="e">
        <f>#REF!</f>
        <v>#REF!</v>
      </c>
      <c r="C55" s="6" t="e">
        <f>+#REF!+#REF!</f>
        <v>#REF!</v>
      </c>
      <c r="D55" s="6" t="e">
        <f t="shared" si="0"/>
        <v>#REF!</v>
      </c>
      <c r="E55" s="6" t="e">
        <f>#REF!</f>
        <v>#REF!</v>
      </c>
      <c r="F55" s="6" t="e">
        <f>#REF!</f>
        <v>#REF!</v>
      </c>
      <c r="G55" s="6" t="e">
        <f>#REF!</f>
        <v>#REF!</v>
      </c>
      <c r="H55" s="6" t="e">
        <f>#REF!</f>
        <v>#REF!</v>
      </c>
    </row>
    <row r="56" spans="1:8" x14ac:dyDescent="0.2">
      <c r="A56" s="6" t="s">
        <v>30</v>
      </c>
      <c r="B56" s="6" t="e">
        <f>#REF!</f>
        <v>#REF!</v>
      </c>
      <c r="C56" s="6" t="e">
        <f>+#REF!+#REF!</f>
        <v>#REF!</v>
      </c>
      <c r="D56" s="6" t="e">
        <f t="shared" si="0"/>
        <v>#REF!</v>
      </c>
      <c r="E56" s="6" t="e">
        <f>#REF!</f>
        <v>#REF!</v>
      </c>
      <c r="F56" s="6" t="e">
        <f>#REF!</f>
        <v>#REF!</v>
      </c>
      <c r="G56" s="6" t="e">
        <f>#REF!</f>
        <v>#REF!</v>
      </c>
      <c r="H56" s="6" t="e">
        <f>#REF!</f>
        <v>#REF!</v>
      </c>
    </row>
    <row r="57" spans="1:8" x14ac:dyDescent="0.2">
      <c r="A57" s="6" t="s">
        <v>31</v>
      </c>
      <c r="B57" s="6" t="e">
        <f>#REF!</f>
        <v>#REF!</v>
      </c>
      <c r="C57" s="6" t="e">
        <f>+#REF!+#REF!</f>
        <v>#REF!</v>
      </c>
      <c r="D57" s="6" t="e">
        <f t="shared" si="0"/>
        <v>#REF!</v>
      </c>
      <c r="E57" s="6" t="e">
        <f>#REF!</f>
        <v>#REF!</v>
      </c>
      <c r="F57" s="6" t="e">
        <f>#REF!</f>
        <v>#REF!</v>
      </c>
      <c r="G57" s="6" t="e">
        <f>#REF!</f>
        <v>#REF!</v>
      </c>
      <c r="H57" s="6" t="e">
        <f>#REF!</f>
        <v>#REF!</v>
      </c>
    </row>
    <row r="58" spans="1:8" x14ac:dyDescent="0.2">
      <c r="A58" s="6" t="s">
        <v>32</v>
      </c>
      <c r="B58" s="6" t="e">
        <f>#REF!</f>
        <v>#REF!</v>
      </c>
      <c r="C58" s="6" t="e">
        <f>+#REF!+#REF!</f>
        <v>#REF!</v>
      </c>
      <c r="D58" s="6" t="e">
        <f t="shared" si="0"/>
        <v>#REF!</v>
      </c>
      <c r="E58" s="6" t="e">
        <f>#REF!</f>
        <v>#REF!</v>
      </c>
      <c r="F58" s="6" t="e">
        <f>#REF!</f>
        <v>#REF!</v>
      </c>
      <c r="G58" s="6" t="e">
        <f>#REF!</f>
        <v>#REF!</v>
      </c>
      <c r="H58" s="6" t="e">
        <f>#REF!</f>
        <v>#REF!</v>
      </c>
    </row>
    <row r="59" spans="1:8" x14ac:dyDescent="0.2">
      <c r="A59" s="6" t="s">
        <v>33</v>
      </c>
      <c r="B59" s="6" t="e">
        <f>#REF!</f>
        <v>#REF!</v>
      </c>
      <c r="C59" s="6" t="e">
        <f>+#REF!+#REF!</f>
        <v>#REF!</v>
      </c>
      <c r="D59" s="6" t="e">
        <f t="shared" si="0"/>
        <v>#REF!</v>
      </c>
      <c r="E59" s="6" t="e">
        <f>#REF!</f>
        <v>#REF!</v>
      </c>
      <c r="F59" s="6" t="e">
        <f>#REF!</f>
        <v>#REF!</v>
      </c>
      <c r="G59" s="6" t="e">
        <f>#REF!</f>
        <v>#REF!</v>
      </c>
      <c r="H59" s="6" t="e">
        <f>#REF!</f>
        <v>#REF!</v>
      </c>
    </row>
    <row r="60" spans="1:8" x14ac:dyDescent="0.2">
      <c r="A60" s="6" t="s">
        <v>34</v>
      </c>
      <c r="B60" s="6" t="e">
        <f>#REF!</f>
        <v>#REF!</v>
      </c>
      <c r="C60" s="6" t="e">
        <f>+#REF!+#REF!</f>
        <v>#REF!</v>
      </c>
      <c r="D60" s="6" t="e">
        <f t="shared" si="0"/>
        <v>#REF!</v>
      </c>
      <c r="E60" s="6" t="e">
        <f>#REF!</f>
        <v>#REF!</v>
      </c>
      <c r="F60" s="6" t="e">
        <f>#REF!</f>
        <v>#REF!</v>
      </c>
      <c r="G60" s="6" t="e">
        <f>#REF!</f>
        <v>#REF!</v>
      </c>
      <c r="H60" s="6" t="e">
        <f>#REF!</f>
        <v>#REF!</v>
      </c>
    </row>
    <row r="61" spans="1:8" x14ac:dyDescent="0.2">
      <c r="A61" s="6" t="s">
        <v>35</v>
      </c>
      <c r="B61" s="6" t="e">
        <f>#REF!</f>
        <v>#REF!</v>
      </c>
      <c r="C61" s="6" t="e">
        <f>+#REF!+#REF!</f>
        <v>#REF!</v>
      </c>
      <c r="D61" s="6" t="e">
        <f t="shared" si="0"/>
        <v>#REF!</v>
      </c>
      <c r="E61" s="6" t="e">
        <f>#REF!</f>
        <v>#REF!</v>
      </c>
      <c r="F61" s="6" t="e">
        <f>#REF!</f>
        <v>#REF!</v>
      </c>
      <c r="G61" s="6" t="e">
        <f>#REF!</f>
        <v>#REF!</v>
      </c>
      <c r="H61" s="6" t="e">
        <f>#REF!</f>
        <v>#REF!</v>
      </c>
    </row>
    <row r="62" spans="1:8" x14ac:dyDescent="0.2">
      <c r="A62" s="6" t="s">
        <v>36</v>
      </c>
      <c r="B62" s="6" t="e">
        <f>#REF!</f>
        <v>#REF!</v>
      </c>
      <c r="C62" s="6" t="e">
        <f>+#REF!+#REF!</f>
        <v>#REF!</v>
      </c>
      <c r="D62" s="6" t="e">
        <f t="shared" si="0"/>
        <v>#REF!</v>
      </c>
      <c r="E62" s="6" t="e">
        <f>#REF!</f>
        <v>#REF!</v>
      </c>
      <c r="F62" s="6" t="e">
        <f>#REF!</f>
        <v>#REF!</v>
      </c>
      <c r="G62" s="6" t="e">
        <f>#REF!</f>
        <v>#REF!</v>
      </c>
      <c r="H62" s="6" t="e">
        <f>#REF!</f>
        <v>#REF!</v>
      </c>
    </row>
    <row r="63" spans="1:8" x14ac:dyDescent="0.2">
      <c r="A63" s="6" t="s">
        <v>37</v>
      </c>
      <c r="B63" s="6" t="e">
        <f>#REF!</f>
        <v>#REF!</v>
      </c>
      <c r="C63" s="6" t="e">
        <f>+#REF!+#REF!</f>
        <v>#REF!</v>
      </c>
      <c r="D63" s="6" t="e">
        <f t="shared" si="0"/>
        <v>#REF!</v>
      </c>
      <c r="E63" s="6" t="e">
        <f>#REF!</f>
        <v>#REF!</v>
      </c>
      <c r="F63" s="6" t="e">
        <f>#REF!</f>
        <v>#REF!</v>
      </c>
      <c r="G63" s="6" t="e">
        <f>#REF!</f>
        <v>#REF!</v>
      </c>
      <c r="H63" s="6" t="e">
        <f>#REF!</f>
        <v>#REF!</v>
      </c>
    </row>
    <row r="64" spans="1:8" x14ac:dyDescent="0.2">
      <c r="A64" s="6">
        <v>0</v>
      </c>
      <c r="B64" s="6" t="e">
        <f>#REF!</f>
        <v>#REF!</v>
      </c>
      <c r="C64" s="6" t="e">
        <f>+#REF!+#REF!</f>
        <v>#REF!</v>
      </c>
      <c r="D64" s="6" t="e">
        <f t="shared" si="0"/>
        <v>#REF!</v>
      </c>
      <c r="E64" s="6" t="e">
        <f>#REF!</f>
        <v>#REF!</v>
      </c>
      <c r="F64" s="6" t="e">
        <f>#REF!</f>
        <v>#REF!</v>
      </c>
      <c r="G64" s="6" t="e">
        <f>#REF!</f>
        <v>#REF!</v>
      </c>
      <c r="H64" s="6" t="e">
        <f>#REF!</f>
        <v>#REF!</v>
      </c>
    </row>
    <row r="65" spans="1:8" x14ac:dyDescent="0.2">
      <c r="A65" s="6" t="s">
        <v>47</v>
      </c>
      <c r="B65" s="6" t="e">
        <f>#REF!</f>
        <v>#REF!</v>
      </c>
      <c r="C65" s="6" t="e">
        <f>SUM(C38:C58)</f>
        <v>#REF!</v>
      </c>
      <c r="D65" s="6" t="e">
        <f t="shared" si="0"/>
        <v>#REF!</v>
      </c>
      <c r="E65" s="6" t="e">
        <f>#REF!</f>
        <v>#REF!</v>
      </c>
      <c r="F65" s="6" t="e">
        <f>#REF!</f>
        <v>#REF!</v>
      </c>
      <c r="G65" s="6" t="e">
        <f>#REF!</f>
        <v>#REF!</v>
      </c>
      <c r="H65" s="6" t="e">
        <f>#REF!</f>
        <v>#REF!</v>
      </c>
    </row>
    <row r="66" spans="1:8" x14ac:dyDescent="0.2">
      <c r="C66" s="6"/>
    </row>
  </sheetData>
  <pageMargins left="0.7" right="0.7" top="0.75" bottom="0.75" header="0.3" footer="0.3"/>
  <pageSetup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F21"/>
  <sheetViews>
    <sheetView showOutlineSymbols="0" workbookViewId="0"/>
  </sheetViews>
  <sheetFormatPr defaultRowHeight="12.75" x14ac:dyDescent="0.2"/>
  <cols>
    <col min="2" max="2" width="17" customWidth="1"/>
    <col min="3" max="3" width="12.7109375" customWidth="1"/>
    <col min="4" max="4" width="13.28515625" customWidth="1"/>
    <col min="5" max="5" width="9.85546875" customWidth="1"/>
  </cols>
  <sheetData>
    <row r="2" spans="2:6" x14ac:dyDescent="0.2">
      <c r="C2" t="s">
        <v>48</v>
      </c>
      <c r="D2" t="s">
        <v>49</v>
      </c>
      <c r="E2" t="s">
        <v>50</v>
      </c>
    </row>
    <row r="3" spans="2:6" x14ac:dyDescent="0.2">
      <c r="B3" t="s">
        <v>51</v>
      </c>
      <c r="C3" s="7" t="e">
        <f>+#REF!+#REF!+#REF!+#REF!+#REF!+#REF!+#REF!+#REF!+#REF!+#REF!</f>
        <v>#REF!</v>
      </c>
      <c r="D3" s="7" t="e">
        <f>+#REF!</f>
        <v>#REF!</v>
      </c>
      <c r="E3" t="e">
        <f>+D3/C5</f>
        <v>#REF!</v>
      </c>
      <c r="F3" t="s">
        <v>52</v>
      </c>
    </row>
    <row r="4" spans="2:6" x14ac:dyDescent="0.2">
      <c r="B4" t="s">
        <v>53</v>
      </c>
      <c r="C4" s="7" t="e">
        <f>+#REF!+#REF!+#REF!+#REF!+#REF!+#REF!+#REF!+#REF!+#REF!+#REF!</f>
        <v>#REF!</v>
      </c>
      <c r="D4" s="7"/>
    </row>
    <row r="5" spans="2:6" x14ac:dyDescent="0.2">
      <c r="B5" t="s">
        <v>54</v>
      </c>
      <c r="C5" s="7" t="e">
        <f>SUM(C3:C4)</f>
        <v>#REF!</v>
      </c>
      <c r="D5" s="7"/>
    </row>
    <row r="6" spans="2:6" x14ac:dyDescent="0.2">
      <c r="B6" t="s">
        <v>55</v>
      </c>
      <c r="C6" s="7" t="e">
        <f>+#REF!+#REF!+#REF!+#REF!+#REF!+#REF!+#REF!+#REF!+#REF!+#REF!</f>
        <v>#REF!</v>
      </c>
      <c r="D6" s="7"/>
    </row>
    <row r="7" spans="2:6" x14ac:dyDescent="0.2">
      <c r="C7" s="7"/>
      <c r="D7" s="7"/>
    </row>
    <row r="8" spans="2:6" x14ac:dyDescent="0.2">
      <c r="B8" t="s">
        <v>56</v>
      </c>
      <c r="C8" s="14" t="e">
        <f>+#REF!+#REF!+#REF!+#REF!</f>
        <v>#REF!</v>
      </c>
      <c r="D8" s="7" t="e">
        <f>+#REF!</f>
        <v>#REF!</v>
      </c>
      <c r="E8" s="7" t="e">
        <f>+C8-D8</f>
        <v>#REF!</v>
      </c>
    </row>
    <row r="9" spans="2:6" x14ac:dyDescent="0.2">
      <c r="B9" t="s">
        <v>57</v>
      </c>
      <c r="C9" s="7" t="e">
        <f>+#REF!+#REF!+#REF!+#REF!+#REF!+#REF!+#REF!+#REF!</f>
        <v>#REF!</v>
      </c>
      <c r="D9" s="7" t="e">
        <f>+#REF!</f>
        <v>#REF!</v>
      </c>
      <c r="E9" s="7" t="e">
        <f>+C9-D9</f>
        <v>#REF!</v>
      </c>
    </row>
    <row r="10" spans="2:6" x14ac:dyDescent="0.2">
      <c r="B10" t="s">
        <v>58</v>
      </c>
      <c r="C10" s="7" t="e">
        <f>+#REF!+#REF!+#REF!+#REF!+#REF!+#REF!+#REF!+#REF!+#REF!</f>
        <v>#REF!</v>
      </c>
      <c r="D10" s="7" t="e">
        <f>+#REF!</f>
        <v>#REF!</v>
      </c>
      <c r="E10" s="7" t="e">
        <f>+C10-D10</f>
        <v>#REF!</v>
      </c>
    </row>
    <row r="11" spans="2:6" x14ac:dyDescent="0.2">
      <c r="B11" t="s">
        <v>59</v>
      </c>
      <c r="C11" s="7" t="e">
        <f>+#REF!+#REF!+#REF!+#REF!+#REF!+#REF!+#REF!+#REF!+#REF!</f>
        <v>#REF!</v>
      </c>
      <c r="D11" s="7" t="e">
        <f>+#REF!</f>
        <v>#REF!</v>
      </c>
      <c r="E11" s="7" t="e">
        <f>+C11-D11</f>
        <v>#REF!</v>
      </c>
    </row>
    <row r="12" spans="2:6" x14ac:dyDescent="0.2">
      <c r="B12" t="s">
        <v>60</v>
      </c>
      <c r="C12" s="7" t="e">
        <f>+#REF!+#REF!+#REF!+#REF!+#REF!+#REF!+#REF!+#REF!+#REF!</f>
        <v>#REF!</v>
      </c>
      <c r="D12" s="7" t="e">
        <f>+#REF!</f>
        <v>#REF!</v>
      </c>
      <c r="E12" s="7" t="e">
        <f>+C12-D12</f>
        <v>#REF!</v>
      </c>
    </row>
    <row r="15" spans="2:6" x14ac:dyDescent="0.2">
      <c r="B15" t="s">
        <v>61</v>
      </c>
    </row>
    <row r="16" spans="2:6" x14ac:dyDescent="0.2">
      <c r="B16" t="s">
        <v>62</v>
      </c>
      <c r="C16">
        <v>12</v>
      </c>
      <c r="D16" s="5">
        <f>+C16/$C$21</f>
        <v>0.52173913043478259</v>
      </c>
      <c r="E16" s="6" t="e">
        <f>+$D$8*D16</f>
        <v>#REF!</v>
      </c>
    </row>
    <row r="17" spans="2:5" x14ac:dyDescent="0.2">
      <c r="B17" t="s">
        <v>63</v>
      </c>
      <c r="C17">
        <v>7</v>
      </c>
      <c r="D17" s="5">
        <f>+C17/$C$21</f>
        <v>0.30434782608695654</v>
      </c>
      <c r="E17" s="6" t="e">
        <f>+$D$8*D17</f>
        <v>#REF!</v>
      </c>
    </row>
    <row r="18" spans="2:5" x14ac:dyDescent="0.2">
      <c r="B18" s="8">
        <v>911</v>
      </c>
      <c r="C18">
        <v>1</v>
      </c>
      <c r="D18" s="5">
        <f>+C18/$C$21</f>
        <v>4.3478260869565216E-2</v>
      </c>
      <c r="E18" s="6" t="e">
        <f>+$D$8*D18</f>
        <v>#REF!</v>
      </c>
    </row>
    <row r="19" spans="2:5" x14ac:dyDescent="0.2">
      <c r="B19" t="s">
        <v>64</v>
      </c>
      <c r="C19">
        <v>3</v>
      </c>
      <c r="D19" s="5">
        <f>+C19/$C$21</f>
        <v>0.13043478260869565</v>
      </c>
      <c r="E19" s="6" t="e">
        <f>+$D$8*D19</f>
        <v>#REF!</v>
      </c>
    </row>
    <row r="21" spans="2:5" x14ac:dyDescent="0.2">
      <c r="C21">
        <f>SUM(C16:C20)</f>
        <v>23</v>
      </c>
    </row>
  </sheetData>
  <customSheetViews>
    <customSheetView guid="{8970DFA1-A026-4639-BD60-39EC20285CCC}" showRuler="0">
      <selection activeCell="G8" sqref="G8"/>
    </customSheetView>
    <customSheetView guid="{AADB8EA3-75F0-4468-B5D5-C7110D6EC38B}" showRuler="0">
      <selection activeCell="G8" sqref="G8"/>
      <pageMargins left="0" right="0" top="0" bottom="0" header="0" footer="0"/>
      <pageSetup orientation="portrait" r:id="rId1"/>
      <headerFooter alignWithMargins="0"/>
    </customSheetView>
    <customSheetView guid="{1D9F4367-0C2F-46F1-9E55-939D20D76F5B}" showRuler="0">
      <selection activeCell="G8" sqref="G8"/>
      <pageMargins left="0" right="0" top="0" bottom="0" header="0" footer="0"/>
      <pageSetup orientation="portrait" r:id="rId2"/>
      <headerFooter alignWithMargins="0"/>
    </customSheetView>
    <customSheetView guid="{921A7AC6-7D1A-435F-A825-B8B8C1A90F20}" showRuler="0">
      <selection activeCell="G8" sqref="G8"/>
      <pageMargins left="0" right="0" top="0" bottom="0" header="0" footer="0"/>
      <pageSetup orientation="portrait" r:id="rId3"/>
      <headerFooter alignWithMargins="0"/>
    </customSheetView>
    <customSheetView guid="{ED9CD846-0F6B-4BF7-A940-412E425E8FCE}" showRuler="0">
      <selection activeCell="G8" sqref="G8"/>
      <pageMargins left="0" right="0" top="0" bottom="0" header="0" footer="0"/>
      <pageSetup orientation="portrait" r:id="rId4"/>
      <headerFooter alignWithMargins="0"/>
    </customSheetView>
    <customSheetView guid="{497CB486-623F-41B0-B370-EF2A82E78B1D}" showRuler="0">
      <selection activeCell="G8" sqref="G8"/>
      <pageMargins left="0" right="0" top="0" bottom="0" header="0" footer="0"/>
      <pageSetup orientation="portrait" r:id="rId5"/>
      <headerFooter alignWithMargins="0"/>
    </customSheetView>
    <customSheetView guid="{20CF2976-B2A7-4F04-88DC-0AB25CA8A6C6}" showRuler="0">
      <selection activeCell="G8" sqref="G8"/>
      <pageMargins left="0" right="0" top="0" bottom="0" header="0" footer="0"/>
      <pageSetup orientation="portrait" r:id="rId6"/>
      <headerFooter alignWithMargins="0"/>
    </customSheetView>
    <customSheetView guid="{CB724201-FBEC-4626-9DD9-AEC98BB80DB0}" showRuler="0">
      <selection activeCell="G8" sqref="G8"/>
      <pageMargins left="0" right="0" top="0" bottom="0" header="0" footer="0"/>
      <pageSetup orientation="portrait" r:id="rId7"/>
      <headerFooter alignWithMargins="0"/>
    </customSheetView>
  </customSheetViews>
  <phoneticPr fontId="0" type="noConversion"/>
  <pageMargins left="0.75" right="0.75" top="1" bottom="1" header="0.5" footer="0.5"/>
  <pageSetup orientation="portrait" r:id="rId8"/>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L49"/>
  <sheetViews>
    <sheetView tabSelected="1" showOutlineSymbols="0" topLeftCell="B1" zoomScaleNormal="100" zoomScalePageLayoutView="90" workbookViewId="0">
      <selection activeCell="I26" sqref="I26"/>
    </sheetView>
  </sheetViews>
  <sheetFormatPr defaultColWidth="9.140625" defaultRowHeight="15" x14ac:dyDescent="0.25"/>
  <cols>
    <col min="1" max="1" width="9.140625" style="49" hidden="1" customWidth="1"/>
    <col min="2" max="2" width="53.140625" style="31" customWidth="1"/>
    <col min="3" max="6" width="14.7109375" style="31" customWidth="1"/>
    <col min="7" max="7" width="15.42578125" style="31" customWidth="1"/>
    <col min="8" max="8" width="9.140625" style="31"/>
    <col min="9" max="9" width="13.42578125" style="31" bestFit="1" customWidth="1"/>
    <col min="10" max="16384" width="9.140625" style="31"/>
  </cols>
  <sheetData>
    <row r="2" spans="1:9" x14ac:dyDescent="0.25">
      <c r="B2" s="28" t="s">
        <v>65</v>
      </c>
    </row>
    <row r="3" spans="1:9" x14ac:dyDescent="0.25">
      <c r="A3" s="49" t="s">
        <v>66</v>
      </c>
      <c r="B3" s="28" t="s">
        <v>67</v>
      </c>
      <c r="E3" s="50"/>
    </row>
    <row r="4" spans="1:9" x14ac:dyDescent="0.25">
      <c r="B4" s="28" t="s">
        <v>244</v>
      </c>
    </row>
    <row r="5" spans="1:9" hidden="1" x14ac:dyDescent="0.25">
      <c r="F5" s="51"/>
    </row>
    <row r="6" spans="1:9" ht="48.75" customHeight="1" thickBot="1" x14ac:dyDescent="0.3">
      <c r="C6" s="33">
        <v>2025</v>
      </c>
      <c r="D6" s="33" t="s">
        <v>241</v>
      </c>
      <c r="E6" s="33" t="s">
        <v>68</v>
      </c>
      <c r="F6" s="33" t="s">
        <v>69</v>
      </c>
      <c r="G6" s="52" t="s">
        <v>291</v>
      </c>
    </row>
    <row r="7" spans="1:9" ht="19.899999999999999" customHeight="1" x14ac:dyDescent="0.25">
      <c r="B7" s="53" t="s">
        <v>70</v>
      </c>
      <c r="C7" s="54"/>
      <c r="D7" s="54"/>
      <c r="E7" s="54"/>
      <c r="F7" s="54"/>
      <c r="G7" s="55"/>
      <c r="I7" s="153"/>
    </row>
    <row r="8" spans="1:9" ht="19.899999999999999" customHeight="1" x14ac:dyDescent="0.25">
      <c r="B8" s="56" t="s">
        <v>286</v>
      </c>
      <c r="C8" s="39">
        <f>+ALLEXP!N24-SVCPLAN!C9</f>
        <v>93964200.174604416</v>
      </c>
      <c r="D8" s="39">
        <v>63474109</v>
      </c>
      <c r="E8" s="39">
        <f>+C8-D8</f>
        <v>30490091.174604416</v>
      </c>
      <c r="F8" s="57">
        <f>+E8/D8</f>
        <v>0.48035477228367895</v>
      </c>
      <c r="G8" s="58"/>
    </row>
    <row r="9" spans="1:9" ht="19.899999999999999" customHeight="1" thickBot="1" x14ac:dyDescent="0.3">
      <c r="B9" s="56" t="s">
        <v>71</v>
      </c>
      <c r="C9" s="73">
        <f>+ALLEXP!N22</f>
        <v>500863097.00999999</v>
      </c>
      <c r="D9" s="73">
        <v>478270303</v>
      </c>
      <c r="E9" s="73">
        <f>+C9-D9</f>
        <v>22592794.00999999</v>
      </c>
      <c r="F9" s="59">
        <f>+E9/D9</f>
        <v>4.7238546629979637E-2</v>
      </c>
      <c r="G9" s="58"/>
      <c r="I9" s="57"/>
    </row>
    <row r="10" spans="1:9" ht="19.899999999999999" customHeight="1" thickBot="1" x14ac:dyDescent="0.3">
      <c r="B10" s="56"/>
      <c r="C10" s="60"/>
      <c r="D10" s="60"/>
      <c r="E10" s="60"/>
      <c r="F10" s="59"/>
      <c r="G10" s="61"/>
    </row>
    <row r="11" spans="1:9" ht="19.899999999999999" customHeight="1" thickBot="1" x14ac:dyDescent="0.3">
      <c r="B11" s="56" t="s">
        <v>72</v>
      </c>
      <c r="C11" s="62">
        <f>-ALLEXP!K10</f>
        <v>5702160.0951097179</v>
      </c>
      <c r="D11" s="62">
        <v>4826735</v>
      </c>
      <c r="E11" s="62">
        <f>+C11-D11</f>
        <v>875425.09510971792</v>
      </c>
      <c r="F11" s="63">
        <f>+E11/D11</f>
        <v>0.18137003483922734</v>
      </c>
      <c r="G11" s="64">
        <f>+C11/C8</f>
        <v>6.0684389209017427E-2</v>
      </c>
    </row>
    <row r="12" spans="1:9" ht="11.25" customHeight="1" thickTop="1" thickBot="1" x14ac:dyDescent="0.3">
      <c r="B12" s="65"/>
      <c r="C12" s="158"/>
      <c r="D12" s="158"/>
      <c r="E12" s="158"/>
      <c r="F12" s="67"/>
      <c r="G12" s="68"/>
    </row>
    <row r="13" spans="1:9" ht="19.899999999999999" customHeight="1" thickBot="1" x14ac:dyDescent="0.3">
      <c r="C13" s="39"/>
      <c r="D13" s="39"/>
      <c r="E13" s="39"/>
      <c r="F13" s="57"/>
      <c r="G13" s="57"/>
    </row>
    <row r="14" spans="1:9" ht="19.899999999999999" customHeight="1" x14ac:dyDescent="0.25">
      <c r="B14" s="53" t="s">
        <v>73</v>
      </c>
      <c r="C14" s="159"/>
      <c r="D14" s="159"/>
      <c r="E14" s="159"/>
      <c r="F14" s="70"/>
      <c r="G14" s="71"/>
    </row>
    <row r="15" spans="1:9" ht="19.899999999999999" customHeight="1" x14ac:dyDescent="0.25">
      <c r="B15" s="56" t="s">
        <v>74</v>
      </c>
      <c r="C15" s="39">
        <f>+ALLEXP!C24-ALLEXP!C21</f>
        <v>19058082.844262794</v>
      </c>
      <c r="D15" s="39">
        <v>18371591</v>
      </c>
      <c r="E15" s="39">
        <f>+C15-D15</f>
        <v>686491.84426279366</v>
      </c>
      <c r="F15" s="57">
        <f>+E15/D15</f>
        <v>3.7367032842326703E-2</v>
      </c>
      <c r="G15" s="58"/>
      <c r="I15" s="39"/>
    </row>
    <row r="16" spans="1:9" ht="19.899999999999999" customHeight="1" x14ac:dyDescent="0.25">
      <c r="B16" s="56" t="s">
        <v>75</v>
      </c>
      <c r="C16" s="72">
        <f>+ALLEXP!D24-ALLEXP!D21</f>
        <v>19998973.419538788</v>
      </c>
      <c r="D16" s="72">
        <f>13689834+2827603</f>
        <v>16517437</v>
      </c>
      <c r="E16" s="72">
        <f t="shared" ref="E16:E22" si="0">+C16-D16</f>
        <v>3481536.4195387885</v>
      </c>
      <c r="F16" s="57">
        <f t="shared" ref="F16:F22" si="1">+E16/D16</f>
        <v>0.21077945806839091</v>
      </c>
      <c r="G16" s="58"/>
    </row>
    <row r="17" spans="2:12" ht="19.899999999999999" customHeight="1" x14ac:dyDescent="0.25">
      <c r="B17" s="56" t="s">
        <v>76</v>
      </c>
      <c r="C17" s="72">
        <f>+ALLEXP!E24-ALLEXP!E21-ALLEXP!F21</f>
        <v>2060341.93147875</v>
      </c>
      <c r="D17" s="72">
        <f>4038299-2827603</f>
        <v>1210696</v>
      </c>
      <c r="E17" s="72">
        <f t="shared" si="0"/>
        <v>849645.93147874996</v>
      </c>
      <c r="F17" s="57">
        <f t="shared" si="1"/>
        <v>0.70178304998013541</v>
      </c>
      <c r="G17" s="58"/>
    </row>
    <row r="18" spans="2:12" ht="19.899999999999999" customHeight="1" x14ac:dyDescent="0.25">
      <c r="B18" s="56" t="s">
        <v>77</v>
      </c>
      <c r="C18" s="72">
        <f>+ALLEXP!G24-ALLEXP!G21</f>
        <v>494083638.62170058</v>
      </c>
      <c r="D18" s="72">
        <v>466428378</v>
      </c>
      <c r="E18" s="72">
        <f t="shared" si="0"/>
        <v>27655260.621700585</v>
      </c>
      <c r="F18" s="57">
        <f t="shared" si="1"/>
        <v>5.9291548126389051E-2</v>
      </c>
      <c r="G18" s="58"/>
    </row>
    <row r="19" spans="2:12" ht="19.899999999999999" customHeight="1" x14ac:dyDescent="0.25">
      <c r="B19" s="56" t="s">
        <v>254</v>
      </c>
      <c r="C19" s="72">
        <f>+ALLEXP!H24-ALLEXP!H21</f>
        <v>13193851.475932123</v>
      </c>
      <c r="D19" s="72">
        <v>9771674</v>
      </c>
      <c r="E19" s="72">
        <f t="shared" si="0"/>
        <v>3422177.4759321231</v>
      </c>
      <c r="F19" s="57">
        <f t="shared" si="1"/>
        <v>0.35021404479233786</v>
      </c>
      <c r="G19" s="58"/>
    </row>
    <row r="20" spans="2:12" ht="19.899999999999999" customHeight="1" x14ac:dyDescent="0.25">
      <c r="B20" s="56" t="s">
        <v>78</v>
      </c>
      <c r="C20" s="72">
        <f>+ALLEXP!I24-ALLEXP!I21+1</f>
        <v>30354348.712780658</v>
      </c>
      <c r="D20" s="72">
        <v>19668057</v>
      </c>
      <c r="E20" s="72">
        <f t="shared" si="0"/>
        <v>10686291.712780658</v>
      </c>
      <c r="F20" s="57">
        <f t="shared" si="1"/>
        <v>0.54333235422190707</v>
      </c>
      <c r="G20" s="58"/>
    </row>
    <row r="21" spans="2:12" ht="19.899999999999999" customHeight="1" x14ac:dyDescent="0.25">
      <c r="B21" s="56" t="s">
        <v>79</v>
      </c>
      <c r="C21" s="72">
        <f>+ALLEXP!J24</f>
        <v>10297020.083926318</v>
      </c>
      <c r="D21" s="72">
        <v>9309128</v>
      </c>
      <c r="E21" s="72">
        <f t="shared" si="0"/>
        <v>987892.08392631821</v>
      </c>
      <c r="F21" s="57">
        <f t="shared" si="1"/>
        <v>0.10612079712797141</v>
      </c>
      <c r="G21" s="58"/>
    </row>
    <row r="22" spans="2:12" ht="19.899999999999999" customHeight="1" x14ac:dyDescent="0.25">
      <c r="B22" s="56" t="s">
        <v>80</v>
      </c>
      <c r="C22" s="72">
        <f>+ALLEXP!L18</f>
        <v>2086041.0949843079</v>
      </c>
      <c r="D22" s="72">
        <v>200450</v>
      </c>
      <c r="E22" s="72">
        <f t="shared" si="0"/>
        <v>1885591.0949843079</v>
      </c>
      <c r="F22" s="57">
        <f t="shared" si="1"/>
        <v>9.4067901969783385</v>
      </c>
      <c r="G22" s="58"/>
    </row>
    <row r="23" spans="2:12" ht="19.899999999999999" customHeight="1" thickBot="1" x14ac:dyDescent="0.3">
      <c r="B23" s="56" t="s">
        <v>81</v>
      </c>
      <c r="C23" s="73">
        <f>+ALLEXP!N21-ALLEXP!M21</f>
        <v>3695000</v>
      </c>
      <c r="D23" s="73">
        <v>267000</v>
      </c>
      <c r="E23" s="73">
        <f>+C23-D23</f>
        <v>3428000</v>
      </c>
      <c r="F23" s="59">
        <f>+E23/D23</f>
        <v>12.838951310861423</v>
      </c>
      <c r="G23" s="58"/>
    </row>
    <row r="24" spans="2:12" ht="19.899999999999999" customHeight="1" thickBot="1" x14ac:dyDescent="0.3">
      <c r="B24" s="56" t="s">
        <v>47</v>
      </c>
      <c r="C24" s="74">
        <f>SUM(C15:C23)-1</f>
        <v>594827297.18460441</v>
      </c>
      <c r="D24" s="74">
        <f>SUM(D15:D23)</f>
        <v>541744411</v>
      </c>
      <c r="E24" s="74">
        <f>SUM(E15:E23)</f>
        <v>53082887.184604332</v>
      </c>
      <c r="F24" s="75">
        <f>+E24/D24</f>
        <v>9.7985112733547583E-2</v>
      </c>
      <c r="G24" s="58"/>
      <c r="I24" s="39"/>
    </row>
    <row r="25" spans="2:12" ht="11.25" customHeight="1" thickTop="1" thickBot="1" x14ac:dyDescent="0.3">
      <c r="B25" s="65"/>
      <c r="C25" s="66"/>
      <c r="D25" s="66"/>
      <c r="E25" s="66"/>
      <c r="F25" s="67"/>
      <c r="G25" s="68"/>
    </row>
    <row r="26" spans="2:12" ht="19.899999999999999" customHeight="1" thickBot="1" x14ac:dyDescent="0.3">
      <c r="C26" s="30"/>
      <c r="D26" s="30"/>
      <c r="E26" s="30"/>
      <c r="F26" s="30"/>
      <c r="G26" s="30"/>
      <c r="H26" s="30"/>
      <c r="I26" s="30"/>
      <c r="J26" s="30"/>
      <c r="K26" s="30"/>
      <c r="L26" s="30"/>
    </row>
    <row r="27" spans="2:12" ht="19.899999999999999" customHeight="1" x14ac:dyDescent="0.25">
      <c r="B27" s="53" t="s">
        <v>82</v>
      </c>
      <c r="C27" s="69"/>
      <c r="D27" s="69"/>
      <c r="E27" s="69"/>
      <c r="F27" s="70"/>
      <c r="G27" s="71"/>
    </row>
    <row r="28" spans="2:12" ht="19.899999999999999" customHeight="1" x14ac:dyDescent="0.25">
      <c r="B28" s="56" t="s">
        <v>74</v>
      </c>
      <c r="C28" s="39">
        <f>+APLREV!C23</f>
        <v>310606</v>
      </c>
      <c r="D28" s="39">
        <v>310606</v>
      </c>
      <c r="E28" s="39">
        <f t="shared" ref="E28:E36" si="2">+C28-D28</f>
        <v>0</v>
      </c>
      <c r="F28" s="57">
        <f t="shared" ref="F28:F36" si="3">+E28/D28</f>
        <v>0</v>
      </c>
      <c r="G28" s="58"/>
    </row>
    <row r="29" spans="2:12" ht="19.899999999999999" customHeight="1" x14ac:dyDescent="0.25">
      <c r="B29" s="56" t="s">
        <v>75</v>
      </c>
      <c r="C29" s="72">
        <f>+APLREV!D20+APLREV!D21+APLREV!D23+APLREV!D22</f>
        <v>6034352.7213178724</v>
      </c>
      <c r="D29" s="72">
        <f>149431+2767797</f>
        <v>2917228</v>
      </c>
      <c r="E29" s="72">
        <f t="shared" si="2"/>
        <v>3117124.7213178724</v>
      </c>
      <c r="F29" s="57">
        <f t="shared" si="3"/>
        <v>1.0685228310292758</v>
      </c>
      <c r="G29" s="58"/>
    </row>
    <row r="30" spans="2:12" ht="19.899999999999999" customHeight="1" x14ac:dyDescent="0.25">
      <c r="B30" s="56" t="s">
        <v>83</v>
      </c>
      <c r="C30" s="72">
        <f>+APLREV!I20+APLREV!I21+APLREV!I23+APLREV!I22</f>
        <v>1743798.7564132037</v>
      </c>
      <c r="D30" s="72">
        <v>3389054</v>
      </c>
      <c r="E30" s="72">
        <f>+C30-D30</f>
        <v>-1645255.2435867963</v>
      </c>
      <c r="F30" s="57">
        <f t="shared" si="3"/>
        <v>-0.4854615015242591</v>
      </c>
      <c r="G30" s="58"/>
    </row>
    <row r="31" spans="2:12" ht="19.899999999999999" customHeight="1" x14ac:dyDescent="0.25">
      <c r="B31" s="56" t="s">
        <v>84</v>
      </c>
      <c r="C31" s="72">
        <f>+'Unrestricted fund bal'!C15</f>
        <v>1023316</v>
      </c>
      <c r="D31" s="72">
        <v>917787</v>
      </c>
      <c r="E31" s="72">
        <f t="shared" si="2"/>
        <v>105529</v>
      </c>
      <c r="F31" s="57">
        <f t="shared" si="3"/>
        <v>0.11498201652453129</v>
      </c>
      <c r="G31" s="58"/>
    </row>
    <row r="32" spans="2:12" ht="19.899999999999999" customHeight="1" x14ac:dyDescent="0.25">
      <c r="B32" s="56" t="s">
        <v>251</v>
      </c>
      <c r="C32" s="72">
        <f>+APLREV!G21-SVCPLAN!C31</f>
        <v>5280909.7281089621</v>
      </c>
      <c r="D32" s="72">
        <v>3076062</v>
      </c>
      <c r="E32" s="72">
        <f t="shared" si="2"/>
        <v>2204847.7281089621</v>
      </c>
      <c r="F32" s="57">
        <f t="shared" si="3"/>
        <v>0.71677610142739712</v>
      </c>
      <c r="G32" s="58"/>
    </row>
    <row r="33" spans="2:7" ht="19.899999999999999" customHeight="1" x14ac:dyDescent="0.25">
      <c r="B33" s="56" t="s">
        <v>80</v>
      </c>
      <c r="C33" s="72">
        <f>APLREV!J25-C35</f>
        <v>2086040</v>
      </c>
      <c r="D33" s="72">
        <v>200450</v>
      </c>
      <c r="E33" s="72">
        <f t="shared" si="2"/>
        <v>1885590</v>
      </c>
      <c r="F33" s="57">
        <f t="shared" si="3"/>
        <v>9.4067847343477169</v>
      </c>
      <c r="G33" s="58"/>
    </row>
    <row r="34" spans="2:7" ht="19.899999999999999" customHeight="1" x14ac:dyDescent="0.25">
      <c r="B34" s="56" t="s">
        <v>78</v>
      </c>
      <c r="C34" s="72">
        <f>+APLREV!H23+APLREV!H21+APLREV!H20</f>
        <v>404379</v>
      </c>
      <c r="D34" s="72">
        <v>404379</v>
      </c>
      <c r="E34" s="72">
        <v>0</v>
      </c>
      <c r="F34" s="57">
        <f t="shared" si="3"/>
        <v>0</v>
      </c>
      <c r="G34" s="58"/>
    </row>
    <row r="35" spans="2:7" ht="19.899999999999999" customHeight="1" thickBot="1" x14ac:dyDescent="0.3">
      <c r="B35" s="56" t="s">
        <v>86</v>
      </c>
      <c r="C35" s="73">
        <v>0</v>
      </c>
      <c r="D35" s="73">
        <v>0</v>
      </c>
      <c r="E35" s="73">
        <f t="shared" si="2"/>
        <v>0</v>
      </c>
      <c r="F35" s="57">
        <v>0</v>
      </c>
      <c r="G35" s="58"/>
    </row>
    <row r="36" spans="2:7" ht="19.899999999999999" customHeight="1" thickBot="1" x14ac:dyDescent="0.3">
      <c r="B36" s="56" t="s">
        <v>47</v>
      </c>
      <c r="C36" s="62">
        <f>SUM(C28:C35)</f>
        <v>16883402.205840036</v>
      </c>
      <c r="D36" s="62">
        <f>SUM(D28:D35)</f>
        <v>11215566</v>
      </c>
      <c r="E36" s="62">
        <f t="shared" si="2"/>
        <v>5667836.2058400363</v>
      </c>
      <c r="F36" s="63">
        <f t="shared" si="3"/>
        <v>0.50535445164693749</v>
      </c>
      <c r="G36" s="58"/>
    </row>
    <row r="37" spans="2:7" ht="11.25" customHeight="1" thickTop="1" thickBot="1" x14ac:dyDescent="0.3">
      <c r="B37" s="65"/>
      <c r="C37" s="158"/>
      <c r="D37" s="158"/>
      <c r="E37" s="158"/>
      <c r="F37" s="67"/>
      <c r="G37" s="68"/>
    </row>
    <row r="38" spans="2:7" ht="19.899999999999999" customHeight="1" thickBot="1" x14ac:dyDescent="0.3">
      <c r="B38" s="76"/>
      <c r="C38" s="39"/>
      <c r="D38" s="39"/>
      <c r="E38" s="39"/>
      <c r="F38" s="57"/>
      <c r="G38" s="57"/>
    </row>
    <row r="39" spans="2:7" ht="19.899999999999999" customHeight="1" x14ac:dyDescent="0.25">
      <c r="B39" s="53" t="s">
        <v>87</v>
      </c>
      <c r="C39" s="159"/>
      <c r="D39" s="159"/>
      <c r="E39" s="159"/>
      <c r="F39" s="70"/>
      <c r="G39" s="71"/>
    </row>
    <row r="40" spans="2:7" ht="19.899999999999999" customHeight="1" x14ac:dyDescent="0.25">
      <c r="B40" s="56" t="s">
        <v>74</v>
      </c>
      <c r="C40" s="39">
        <f>+ALLEXP!C22</f>
        <v>12566466</v>
      </c>
      <c r="D40" s="39">
        <v>13303078</v>
      </c>
      <c r="E40" s="39">
        <f t="shared" ref="E40:E45" si="4">+C40-D40</f>
        <v>-736612</v>
      </c>
      <c r="F40" s="57">
        <f t="shared" ref="F40:F45" si="5">+E40/D40</f>
        <v>-5.5371546344387367E-2</v>
      </c>
      <c r="G40" s="58"/>
    </row>
    <row r="41" spans="2:7" ht="19.899999999999999" customHeight="1" x14ac:dyDescent="0.25">
      <c r="B41" s="56" t="s">
        <v>75</v>
      </c>
      <c r="C41" s="72">
        <f>+ALLEXP!D22</f>
        <v>7492500</v>
      </c>
      <c r="D41" s="72">
        <v>7282137</v>
      </c>
      <c r="E41" s="72">
        <f t="shared" si="4"/>
        <v>210363</v>
      </c>
      <c r="F41" s="57">
        <f t="shared" si="5"/>
        <v>2.8887536721706828E-2</v>
      </c>
      <c r="G41" s="58"/>
    </row>
    <row r="42" spans="2:7" ht="19.899999999999999" customHeight="1" x14ac:dyDescent="0.25">
      <c r="B42" s="56" t="s">
        <v>77</v>
      </c>
      <c r="C42" s="72">
        <f>+ALLEXP!G22</f>
        <v>468217031.00999999</v>
      </c>
      <c r="D42" s="72">
        <v>448127900</v>
      </c>
      <c r="E42" s="72">
        <f t="shared" si="4"/>
        <v>20089131.00999999</v>
      </c>
      <c r="F42" s="57">
        <f t="shared" si="5"/>
        <v>4.4829012007509439E-2</v>
      </c>
      <c r="G42" s="58"/>
    </row>
    <row r="43" spans="2:7" ht="19.899999999999999" customHeight="1" x14ac:dyDescent="0.25">
      <c r="B43" s="56" t="s">
        <v>254</v>
      </c>
      <c r="C43" s="72">
        <f>+ALLEXP!H22</f>
        <v>5112100</v>
      </c>
      <c r="D43" s="72">
        <v>2802188</v>
      </c>
      <c r="E43" s="72">
        <f t="shared" si="4"/>
        <v>2309912</v>
      </c>
      <c r="F43" s="57">
        <f t="shared" si="5"/>
        <v>0.82432442077405232</v>
      </c>
      <c r="G43" s="58"/>
    </row>
    <row r="44" spans="2:7" ht="19.899999999999999" customHeight="1" thickBot="1" x14ac:dyDescent="0.3">
      <c r="B44" s="56" t="s">
        <v>78</v>
      </c>
      <c r="C44" s="73">
        <f>+ALLEXP!I22</f>
        <v>7475000</v>
      </c>
      <c r="D44" s="73">
        <v>6755000</v>
      </c>
      <c r="E44" s="73">
        <f t="shared" si="4"/>
        <v>720000</v>
      </c>
      <c r="F44" s="57">
        <f t="shared" si="5"/>
        <v>0.10658771280532939</v>
      </c>
      <c r="G44" s="58"/>
    </row>
    <row r="45" spans="2:7" ht="19.899999999999999" customHeight="1" thickBot="1" x14ac:dyDescent="0.3">
      <c r="B45" s="56" t="s">
        <v>47</v>
      </c>
      <c r="C45" s="62">
        <f>SUM(C40:C44)</f>
        <v>500863097.00999999</v>
      </c>
      <c r="D45" s="62">
        <f>SUM(D40:D44)</f>
        <v>478270303</v>
      </c>
      <c r="E45" s="62">
        <f t="shared" si="4"/>
        <v>22592794.00999999</v>
      </c>
      <c r="F45" s="63">
        <f t="shared" si="5"/>
        <v>4.7238546629979637E-2</v>
      </c>
      <c r="G45" s="58"/>
    </row>
    <row r="46" spans="2:7" ht="11.25" customHeight="1" thickTop="1" thickBot="1" x14ac:dyDescent="0.3">
      <c r="B46" s="77"/>
      <c r="C46" s="66"/>
      <c r="D46" s="66"/>
      <c r="E46" s="66"/>
      <c r="F46" s="67"/>
      <c r="G46" s="68"/>
    </row>
    <row r="49" spans="3:3" x14ac:dyDescent="0.25">
      <c r="C49" s="39"/>
    </row>
  </sheetData>
  <customSheetViews>
    <customSheetView guid="{8970DFA1-A026-4639-BD60-39EC20285CCC}" showRuler="0" topLeftCell="A13">
      <selection activeCell="D34" sqref="D34"/>
    </customSheetView>
    <customSheetView guid="{AADB8EA3-75F0-4468-B5D5-C7110D6EC38B}" fitToPage="1" showRuler="0" topLeftCell="A13">
      <selection activeCell="D34" sqref="D34"/>
      <pageMargins left="0" right="0" top="0" bottom="0" header="0" footer="0"/>
      <printOptions horizontalCentered="1" verticalCentered="1"/>
      <pageSetup orientation="portrait" r:id="rId1"/>
      <headerFooter alignWithMargins="0"/>
    </customSheetView>
    <customSheetView guid="{1D9F4367-0C2F-46F1-9E55-939D20D76F5B}" fitToPage="1" showRuler="0" topLeftCell="A13">
      <selection activeCell="D34" sqref="D34"/>
      <pageMargins left="0" right="0" top="0" bottom="0" header="0" footer="0"/>
      <printOptions horizontalCentered="1" verticalCentered="1"/>
      <pageSetup orientation="portrait" r:id="rId2"/>
      <headerFooter alignWithMargins="0"/>
    </customSheetView>
    <customSheetView guid="{921A7AC6-7D1A-435F-A825-B8B8C1A90F20}" fitToPage="1" showRuler="0" topLeftCell="A13">
      <selection activeCell="D34" sqref="D34"/>
      <pageMargins left="0" right="0" top="0" bottom="0" header="0" footer="0"/>
      <printOptions horizontalCentered="1" verticalCentered="1"/>
      <pageSetup orientation="portrait" r:id="rId3"/>
      <headerFooter alignWithMargins="0"/>
    </customSheetView>
    <customSheetView guid="{ED9CD846-0F6B-4BF7-A940-412E425E8FCE}" fitToPage="1" showRuler="0" topLeftCell="A13">
      <selection activeCell="D34" sqref="D34"/>
      <pageMargins left="0" right="0" top="0" bottom="0" header="0" footer="0"/>
      <printOptions horizontalCentered="1" verticalCentered="1"/>
      <pageSetup orientation="portrait" r:id="rId4"/>
      <headerFooter alignWithMargins="0"/>
    </customSheetView>
    <customSheetView guid="{497CB486-623F-41B0-B370-EF2A82E78B1D}" fitToPage="1" showRuler="0" topLeftCell="A13">
      <selection activeCell="D34" sqref="D34"/>
      <pageMargins left="0" right="0" top="0" bottom="0" header="0" footer="0"/>
      <printOptions horizontalCentered="1" verticalCentered="1"/>
      <pageSetup orientation="portrait" r:id="rId5"/>
      <headerFooter alignWithMargins="0"/>
    </customSheetView>
    <customSheetView guid="{20CF2976-B2A7-4F04-88DC-0AB25CA8A6C6}" fitToPage="1" showRuler="0" topLeftCell="A13">
      <selection activeCell="D34" sqref="D34"/>
      <pageMargins left="0" right="0" top="0" bottom="0" header="0" footer="0"/>
      <printOptions horizontalCentered="1" verticalCentered="1"/>
      <pageSetup orientation="portrait" r:id="rId6"/>
      <headerFooter alignWithMargins="0"/>
    </customSheetView>
    <customSheetView guid="{CB724201-FBEC-4626-9DD9-AEC98BB80DB0}" fitToPage="1" showRuler="0" topLeftCell="A13">
      <selection activeCell="D34" sqref="D34"/>
      <pageMargins left="0" right="0" top="0" bottom="0" header="0" footer="0"/>
      <printOptions horizontalCentered="1" verticalCentered="1"/>
      <pageSetup orientation="portrait" r:id="rId7"/>
      <headerFooter alignWithMargins="0"/>
    </customSheetView>
  </customSheetViews>
  <phoneticPr fontId="0" type="noConversion"/>
  <printOptions horizontalCentered="1"/>
  <pageMargins left="0.7" right="0.7" top="0.75" bottom="0.75" header="0.3" footer="0.3"/>
  <pageSetup scale="72" orientation="portrait" r:id="rId8"/>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M31"/>
  <sheetViews>
    <sheetView showGridLines="0" showOutlineSymbols="0" topLeftCell="A5" zoomScaleNormal="100" zoomScalePageLayoutView="110" workbookViewId="0">
      <selection activeCell="J23" sqref="J23"/>
    </sheetView>
  </sheetViews>
  <sheetFormatPr defaultColWidth="9" defaultRowHeight="19.899999999999999" customHeight="1" x14ac:dyDescent="0.2"/>
  <cols>
    <col min="1" max="1" width="1.28515625" style="78" customWidth="1"/>
    <col min="2" max="2" width="61.42578125" style="78" customWidth="1"/>
    <col min="3" max="5" width="13.7109375" style="78" customWidth="1"/>
    <col min="6" max="6" width="16" style="78" customWidth="1"/>
    <col min="7" max="7" width="14.7109375" style="78" customWidth="1"/>
    <col min="8" max="9" width="13.7109375" style="78" customWidth="1"/>
    <col min="10" max="10" width="14.28515625" style="78" customWidth="1"/>
    <col min="11" max="11" width="13.7109375" style="78" customWidth="1"/>
    <col min="12" max="13" width="10.28515625" style="78" bestFit="1" customWidth="1"/>
    <col min="14" max="16384" width="9" style="78"/>
  </cols>
  <sheetData>
    <row r="2" spans="1:11" ht="19.899999999999999" customHeight="1" x14ac:dyDescent="0.2">
      <c r="B2" s="79" t="s">
        <v>65</v>
      </c>
    </row>
    <row r="3" spans="1:11" ht="19.899999999999999" customHeight="1" x14ac:dyDescent="0.2">
      <c r="B3" s="79" t="s">
        <v>243</v>
      </c>
    </row>
    <row r="4" spans="1:11" ht="11.25" customHeight="1" x14ac:dyDescent="0.2"/>
    <row r="5" spans="1:11" ht="11.25" customHeight="1" x14ac:dyDescent="0.2"/>
    <row r="6" spans="1:11" ht="39.75" customHeight="1" thickBot="1" x14ac:dyDescent="0.25">
      <c r="A6" s="80"/>
      <c r="C6" s="33" t="s">
        <v>74</v>
      </c>
      <c r="D6" s="33" t="s">
        <v>88</v>
      </c>
      <c r="E6" s="33" t="s">
        <v>89</v>
      </c>
      <c r="F6" s="33" t="s">
        <v>77</v>
      </c>
      <c r="G6" s="33" t="s">
        <v>254</v>
      </c>
      <c r="H6" s="33" t="s">
        <v>90</v>
      </c>
      <c r="I6" s="33" t="s">
        <v>79</v>
      </c>
      <c r="J6" s="33" t="s">
        <v>91</v>
      </c>
      <c r="K6" s="33" t="s">
        <v>47</v>
      </c>
    </row>
    <row r="7" spans="1:11" ht="19.899999999999999" customHeight="1" x14ac:dyDescent="0.2">
      <c r="B7" s="81" t="s">
        <v>92</v>
      </c>
      <c r="C7" s="82"/>
      <c r="D7" s="82"/>
      <c r="E7" s="82"/>
      <c r="F7" s="82"/>
      <c r="G7" s="82"/>
      <c r="H7" s="82"/>
      <c r="I7" s="82"/>
      <c r="J7" s="82"/>
      <c r="K7" s="83"/>
    </row>
    <row r="8" spans="1:11" ht="19.899999999999999" customHeight="1" x14ac:dyDescent="0.2">
      <c r="A8" s="84"/>
      <c r="B8" s="56" t="s">
        <v>93</v>
      </c>
      <c r="C8" s="234">
        <v>0</v>
      </c>
      <c r="D8" s="234">
        <v>0</v>
      </c>
      <c r="E8" s="234">
        <v>0</v>
      </c>
      <c r="F8" s="234">
        <v>0</v>
      </c>
      <c r="G8" s="234">
        <v>0</v>
      </c>
      <c r="H8" s="234">
        <f>[1]BUDGET!$B$28</f>
        <v>695000</v>
      </c>
      <c r="I8" s="234">
        <v>0</v>
      </c>
      <c r="J8" s="234">
        <v>0</v>
      </c>
      <c r="K8" s="160">
        <f t="shared" ref="K8" si="0">SUM(C8:J8)</f>
        <v>695000</v>
      </c>
    </row>
    <row r="9" spans="1:11" ht="15" hidden="1" customHeight="1" x14ac:dyDescent="0.2">
      <c r="A9" s="84"/>
      <c r="B9" s="56" t="s">
        <v>94</v>
      </c>
      <c r="C9" s="85"/>
      <c r="D9" s="85"/>
      <c r="E9" s="85"/>
      <c r="F9" s="85"/>
      <c r="G9" s="85"/>
      <c r="H9" s="85">
        <v>0</v>
      </c>
      <c r="I9" s="85"/>
      <c r="J9" s="85"/>
      <c r="K9" s="86">
        <f t="shared" ref="K9:K23" si="1">SUM(C9:J9)</f>
        <v>0</v>
      </c>
    </row>
    <row r="10" spans="1:11" ht="19.899999999999999" customHeight="1" x14ac:dyDescent="0.2">
      <c r="A10" s="84"/>
      <c r="B10" s="56" t="s">
        <v>95</v>
      </c>
      <c r="C10" s="85"/>
      <c r="D10" s="85">
        <f>[2]BUDGET!$B$35</f>
        <v>13974</v>
      </c>
      <c r="E10" s="85"/>
      <c r="F10" s="85"/>
      <c r="G10" s="85"/>
      <c r="H10" s="85"/>
      <c r="I10" s="85"/>
      <c r="J10" s="85"/>
      <c r="K10" s="86">
        <f t="shared" si="1"/>
        <v>13974</v>
      </c>
    </row>
    <row r="11" spans="1:11" ht="19.899999999999999" customHeight="1" x14ac:dyDescent="0.2">
      <c r="A11" s="84"/>
      <c r="B11" s="56" t="s">
        <v>239</v>
      </c>
      <c r="C11" s="85"/>
      <c r="D11" s="85"/>
      <c r="E11" s="85"/>
      <c r="F11" s="85">
        <f>[3]BUDGET!$B$31</f>
        <v>100000</v>
      </c>
      <c r="G11" s="85"/>
      <c r="H11" s="85"/>
      <c r="I11" s="85"/>
      <c r="J11" s="85"/>
      <c r="K11" s="86">
        <f t="shared" si="1"/>
        <v>100000</v>
      </c>
    </row>
    <row r="12" spans="1:11" ht="19.899999999999999" customHeight="1" x14ac:dyDescent="0.2">
      <c r="A12" s="84"/>
      <c r="B12" s="56" t="s">
        <v>96</v>
      </c>
      <c r="C12" s="85"/>
      <c r="D12" s="85">
        <f>[2]BUDGET!$B$37</f>
        <v>3679362</v>
      </c>
      <c r="E12" s="85"/>
      <c r="F12" s="85"/>
      <c r="G12" s="85"/>
      <c r="H12" s="85"/>
      <c r="I12" s="85"/>
      <c r="J12" s="85"/>
      <c r="K12" s="86">
        <f>SUM(C12:J12)</f>
        <v>3679362</v>
      </c>
    </row>
    <row r="13" spans="1:11" ht="19.899999999999999" customHeight="1" x14ac:dyDescent="0.2">
      <c r="A13" s="84"/>
      <c r="B13" s="56" t="s">
        <v>97</v>
      </c>
      <c r="C13" s="85"/>
      <c r="D13" s="85">
        <f>[2]BUDGET!$B$29</f>
        <v>382436.1112525998</v>
      </c>
      <c r="E13" s="85"/>
      <c r="F13" s="85"/>
      <c r="G13" s="85"/>
      <c r="H13" s="85"/>
      <c r="I13" s="85"/>
      <c r="J13" s="85"/>
      <c r="K13" s="86">
        <f t="shared" si="1"/>
        <v>382436.1112525998</v>
      </c>
    </row>
    <row r="14" spans="1:11" ht="19.899999999999999" customHeight="1" x14ac:dyDescent="0.2">
      <c r="A14" s="84"/>
      <c r="B14" s="56" t="s">
        <v>98</v>
      </c>
      <c r="C14" s="85"/>
      <c r="D14" s="85">
        <f>[2]BUDGET!$B$38</f>
        <v>1771620.2716545844</v>
      </c>
      <c r="E14" s="85"/>
      <c r="F14" s="85"/>
      <c r="G14" s="85"/>
      <c r="H14" s="85">
        <f>[1]BUDGET!$B$30</f>
        <v>29254969.712780662</v>
      </c>
      <c r="I14" s="85">
        <f>[4]BUDGET!$B$32</f>
        <v>8072402.0885663014</v>
      </c>
      <c r="J14" s="85"/>
      <c r="K14" s="86">
        <f>SUM(C14:J14)</f>
        <v>39098992.073001549</v>
      </c>
    </row>
    <row r="15" spans="1:11" ht="19.899999999999999" customHeight="1" x14ac:dyDescent="0.2">
      <c r="A15" s="84"/>
      <c r="B15" s="56" t="s">
        <v>99</v>
      </c>
      <c r="C15" s="85"/>
      <c r="D15" s="85">
        <f>[2]BUDGET!$B$30</f>
        <v>1538698.8233275029</v>
      </c>
      <c r="E15" s="85"/>
      <c r="F15" s="85"/>
      <c r="G15" s="85"/>
      <c r="H15" s="85"/>
      <c r="I15" s="85"/>
      <c r="J15" s="85"/>
      <c r="K15" s="86">
        <f t="shared" si="1"/>
        <v>1538698.8233275029</v>
      </c>
    </row>
    <row r="16" spans="1:11" ht="19.899999999999999" customHeight="1" x14ac:dyDescent="0.2">
      <c r="A16" s="84"/>
      <c r="B16" s="56" t="s">
        <v>100</v>
      </c>
      <c r="C16" s="85"/>
      <c r="D16" s="85"/>
      <c r="E16" s="85">
        <f>[5]BUDGET!$B$32</f>
        <v>2060341.9314787497</v>
      </c>
      <c r="F16" s="85">
        <f>[3]BUDGET!$B$30</f>
        <v>493783638.62170058</v>
      </c>
      <c r="G16" s="85"/>
      <c r="H16" s="85"/>
      <c r="I16" s="85">
        <f>[4]BUDGET!$B$35</f>
        <v>224215.78828256318</v>
      </c>
      <c r="J16" s="85"/>
      <c r="K16" s="86">
        <f t="shared" si="1"/>
        <v>496068196.3414619</v>
      </c>
    </row>
    <row r="17" spans="1:13" ht="19.899999999999999" customHeight="1" x14ac:dyDescent="0.2">
      <c r="A17" s="84"/>
      <c r="B17" s="56" t="s">
        <v>101</v>
      </c>
      <c r="C17" s="85"/>
      <c r="D17" s="85">
        <f>[2]BUDGET!$B$33</f>
        <v>6573911</v>
      </c>
      <c r="E17" s="85"/>
      <c r="F17" s="85"/>
      <c r="G17" s="85"/>
      <c r="H17" s="85"/>
      <c r="I17" s="85"/>
      <c r="J17" s="85"/>
      <c r="K17" s="86">
        <f t="shared" si="1"/>
        <v>6573911</v>
      </c>
    </row>
    <row r="18" spans="1:13" ht="19.899999999999999" customHeight="1" x14ac:dyDescent="0.2">
      <c r="A18" s="84"/>
      <c r="B18" s="56" t="s">
        <v>102</v>
      </c>
      <c r="C18" s="85"/>
      <c r="D18" s="85">
        <f>[2]BUDGET!$B$36</f>
        <v>3699618.49198623</v>
      </c>
      <c r="E18" s="85"/>
      <c r="F18" s="85"/>
      <c r="G18" s="85"/>
      <c r="H18" s="85"/>
      <c r="I18" s="85">
        <f>[4]BUDGET!$B$31</f>
        <v>200549.50359361188</v>
      </c>
      <c r="J18" s="85"/>
      <c r="K18" s="86">
        <f t="shared" si="1"/>
        <v>3900167.995579842</v>
      </c>
    </row>
    <row r="19" spans="1:13" ht="19.899999999999999" customHeight="1" x14ac:dyDescent="0.2">
      <c r="A19" s="84"/>
      <c r="B19" s="56" t="s">
        <v>103</v>
      </c>
      <c r="C19" s="85">
        <f>[3]BUDGET!$B$29</f>
        <v>15378551.84426279</v>
      </c>
      <c r="D19" s="85"/>
      <c r="E19" s="85"/>
      <c r="F19" s="85"/>
      <c r="G19" s="85"/>
      <c r="H19" s="85"/>
      <c r="I19" s="85">
        <f>[4]BUDGET!$B$36</f>
        <v>56053.947070640796</v>
      </c>
      <c r="J19" s="85"/>
      <c r="K19" s="86">
        <f t="shared" si="1"/>
        <v>15434605.791333431</v>
      </c>
    </row>
    <row r="20" spans="1:13" ht="19.899999999999999" customHeight="1" x14ac:dyDescent="0.2">
      <c r="A20" s="84"/>
      <c r="B20" s="56" t="s">
        <v>104</v>
      </c>
      <c r="C20" s="85">
        <f>[3]BUDGET!$D$33</f>
        <v>3368925</v>
      </c>
      <c r="D20" s="85"/>
      <c r="E20" s="85"/>
      <c r="F20" s="85">
        <f>[3]BUDGET!$C$32</f>
        <v>200000</v>
      </c>
      <c r="G20" s="85">
        <f>[6]BUDGET!$B$37+[6]BUDGET!$B$38</f>
        <v>6889626</v>
      </c>
      <c r="H20" s="85">
        <f>[1]BUDGET!$B$33</f>
        <v>379379</v>
      </c>
      <c r="I20" s="85">
        <f>[4]BUDGET!$B$33</f>
        <v>1081437.5728829557</v>
      </c>
      <c r="J20" s="85">
        <f>[7]BUDGET!$B$28+[7]BUDGET!$B$29</f>
        <v>119040</v>
      </c>
      <c r="K20" s="86">
        <f t="shared" si="1"/>
        <v>12038407.572882956</v>
      </c>
    </row>
    <row r="21" spans="1:13" ht="19.899999999999999" customHeight="1" x14ac:dyDescent="0.2">
      <c r="A21" s="84"/>
      <c r="B21" s="56" t="s">
        <v>105</v>
      </c>
      <c r="C21" s="85"/>
      <c r="D21" s="85">
        <f>[2]BUDGET!$B$34</f>
        <v>5812713.7213178724</v>
      </c>
      <c r="E21" s="85"/>
      <c r="F21" s="85"/>
      <c r="G21" s="88">
        <f>[6]BUDGET!$B$30+[6]BUDGET!$B$31+[6]BUDGET!$B$32+[6]BUDGET!$B$33+[6]BUDGET!$B$34+[6]BUDGET!$B$35+[6]BUDGET!$B$36+3</f>
        <v>6304225.7281089621</v>
      </c>
      <c r="H21" s="85"/>
      <c r="I21" s="85">
        <f>[4]BUDGET!$B$30+[4]BUDGET!$B$34</f>
        <v>70636.58618763453</v>
      </c>
      <c r="J21" s="85"/>
      <c r="K21" s="86">
        <f t="shared" si="1"/>
        <v>12187576.035614468</v>
      </c>
      <c r="L21" s="89"/>
      <c r="M21" s="89"/>
    </row>
    <row r="22" spans="1:13" ht="19.899999999999999" customHeight="1" x14ac:dyDescent="0.2">
      <c r="A22" s="84"/>
      <c r="B22" s="56" t="s">
        <v>106</v>
      </c>
      <c r="C22" s="88"/>
      <c r="D22" s="88"/>
      <c r="E22" s="88"/>
      <c r="F22" s="90"/>
      <c r="G22" s="85"/>
      <c r="H22" s="91"/>
      <c r="I22" s="88">
        <f>[4]BUDGET!$B$37</f>
        <v>561724.5973426135</v>
      </c>
      <c r="J22" s="89">
        <f>40711+55894</f>
        <v>96605</v>
      </c>
      <c r="K22" s="86">
        <f t="shared" si="1"/>
        <v>658329.5973426135</v>
      </c>
    </row>
    <row r="23" spans="1:13" ht="19.899999999999999" customHeight="1" x14ac:dyDescent="0.2">
      <c r="A23" s="84"/>
      <c r="B23" s="56" t="s">
        <v>107</v>
      </c>
      <c r="C23" s="88">
        <f>[3]BUDGET!$D$34</f>
        <v>310606</v>
      </c>
      <c r="D23" s="88">
        <f>[2]BUDGET!$B$43</f>
        <v>221639</v>
      </c>
      <c r="E23" s="88"/>
      <c r="F23" s="88"/>
      <c r="G23" s="88">
        <f>[6]BUDGET!$B$40</f>
        <v>0</v>
      </c>
      <c r="H23" s="88">
        <f>[1]BUDGET!$B$32</f>
        <v>25000</v>
      </c>
      <c r="I23" s="88">
        <f>[4]BUDGET!$B$38</f>
        <v>30000</v>
      </c>
      <c r="J23" s="88">
        <f>2076158-96606+459-109418-198</f>
        <v>1870395</v>
      </c>
      <c r="K23" s="86">
        <f t="shared" si="1"/>
        <v>2457640</v>
      </c>
      <c r="L23" s="89"/>
      <c r="M23" s="89"/>
    </row>
    <row r="24" spans="1:13" ht="19.899999999999999" customHeight="1" thickBot="1" x14ac:dyDescent="0.25">
      <c r="A24" s="84"/>
      <c r="B24" s="56" t="s">
        <v>240</v>
      </c>
      <c r="C24" s="88"/>
      <c r="D24" s="88"/>
      <c r="E24" s="88"/>
      <c r="F24" s="88"/>
      <c r="G24" s="88">
        <f>[6]BUDGET!$B$39</f>
        <v>0</v>
      </c>
      <c r="H24" s="88"/>
      <c r="I24" s="88"/>
      <c r="J24" s="88"/>
      <c r="K24" s="86">
        <f>SUM(C24:J24)</f>
        <v>0</v>
      </c>
    </row>
    <row r="25" spans="1:13" ht="19.899999999999999" customHeight="1" thickBot="1" x14ac:dyDescent="0.3">
      <c r="A25" s="84"/>
      <c r="B25" s="56" t="s">
        <v>108</v>
      </c>
      <c r="C25" s="151">
        <f>SUM(C8:C24)</f>
        <v>19058082.84426279</v>
      </c>
      <c r="D25" s="151">
        <f t="shared" ref="D25:I25" si="2">SUM(D8:D24)</f>
        <v>23693973.419538788</v>
      </c>
      <c r="E25" s="151">
        <f t="shared" si="2"/>
        <v>2060341.9314787497</v>
      </c>
      <c r="F25" s="151">
        <f t="shared" si="2"/>
        <v>494083638.62170058</v>
      </c>
      <c r="G25" s="151">
        <f t="shared" si="2"/>
        <v>13193851.728108961</v>
      </c>
      <c r="H25" s="151">
        <f t="shared" si="2"/>
        <v>30354348.712780662</v>
      </c>
      <c r="I25" s="151">
        <f t="shared" si="2"/>
        <v>10297020.083926322</v>
      </c>
      <c r="J25" s="151">
        <f>SUM(J8:J24)</f>
        <v>2086040</v>
      </c>
      <c r="K25" s="92">
        <f>SUM(K8:K24)</f>
        <v>594827297.34179699</v>
      </c>
      <c r="M25" s="87"/>
    </row>
    <row r="26" spans="1:13" ht="14.25" customHeight="1" thickTop="1" thickBot="1" x14ac:dyDescent="0.25">
      <c r="B26" s="93"/>
      <c r="C26" s="94"/>
      <c r="D26" s="94"/>
      <c r="E26" s="94"/>
      <c r="F26" s="94"/>
      <c r="G26" s="94"/>
      <c r="H26" s="94"/>
      <c r="I26" s="94"/>
      <c r="J26" s="94"/>
      <c r="K26" s="95"/>
    </row>
    <row r="27" spans="1:13" ht="19.899999999999999" customHeight="1" x14ac:dyDescent="0.2">
      <c r="D27" s="87"/>
      <c r="F27" s="87"/>
      <c r="I27" s="87"/>
    </row>
    <row r="28" spans="1:13" ht="19.899999999999999" customHeight="1" x14ac:dyDescent="0.2">
      <c r="C28" s="87"/>
      <c r="D28" s="87"/>
      <c r="E28" s="87"/>
      <c r="F28" s="87"/>
      <c r="G28" s="87"/>
      <c r="H28" s="87"/>
      <c r="I28" s="87"/>
      <c r="J28" s="87"/>
      <c r="K28" s="87"/>
    </row>
    <row r="29" spans="1:13" ht="19.899999999999999" customHeight="1" x14ac:dyDescent="0.2">
      <c r="I29" s="89"/>
      <c r="J29" s="89"/>
      <c r="K29" s="87"/>
    </row>
    <row r="30" spans="1:13" ht="19.899999999999999" customHeight="1" x14ac:dyDescent="0.2">
      <c r="I30" s="89"/>
    </row>
    <row r="31" spans="1:13" ht="19.899999999999999" customHeight="1" x14ac:dyDescent="0.2">
      <c r="K31" s="87"/>
    </row>
  </sheetData>
  <customSheetViews>
    <customSheetView guid="{8970DFA1-A026-4639-BD60-39EC20285CCC}" showRuler="0" topLeftCell="B1">
      <selection activeCell="E23" sqref="E23:E26"/>
    </customSheetView>
    <customSheetView guid="{AADB8EA3-75F0-4468-B5D5-C7110D6EC38B}" fitToPage="1" showRuler="0" topLeftCell="B1">
      <selection activeCell="E23" sqref="E23:E26"/>
      <pageMargins left="0" right="0" top="0" bottom="0" header="0" footer="0"/>
      <pageSetup scale="84" orientation="landscape" r:id="rId1"/>
      <headerFooter alignWithMargins="0"/>
    </customSheetView>
    <customSheetView guid="{1D9F4367-0C2F-46F1-9E55-939D20D76F5B}" fitToPage="1" showRuler="0" topLeftCell="B1">
      <selection activeCell="E23" sqref="E23:E26"/>
      <pageMargins left="0" right="0" top="0" bottom="0" header="0" footer="0"/>
      <pageSetup scale="84" orientation="landscape" r:id="rId2"/>
      <headerFooter alignWithMargins="0"/>
    </customSheetView>
    <customSheetView guid="{921A7AC6-7D1A-435F-A825-B8B8C1A90F20}" fitToPage="1" showRuler="0" topLeftCell="B1">
      <selection activeCell="E23" sqref="E23:E26"/>
      <pageMargins left="0" right="0" top="0" bottom="0" header="0" footer="0"/>
      <pageSetup scale="84" orientation="landscape" r:id="rId3"/>
      <headerFooter alignWithMargins="0"/>
    </customSheetView>
    <customSheetView guid="{ED9CD846-0F6B-4BF7-A940-412E425E8FCE}" fitToPage="1" showRuler="0" topLeftCell="B1">
      <selection activeCell="E23" sqref="E23:E26"/>
      <pageMargins left="0" right="0" top="0" bottom="0" header="0" footer="0"/>
      <pageSetup scale="84" orientation="landscape" r:id="rId4"/>
      <headerFooter alignWithMargins="0"/>
    </customSheetView>
    <customSheetView guid="{497CB486-623F-41B0-B370-EF2A82E78B1D}" fitToPage="1" showRuler="0" topLeftCell="B1">
      <selection activeCell="E23" sqref="E23:E26"/>
      <pageMargins left="0" right="0" top="0" bottom="0" header="0" footer="0"/>
      <pageSetup scale="84" orientation="landscape" r:id="rId5"/>
      <headerFooter alignWithMargins="0"/>
    </customSheetView>
    <customSheetView guid="{20CF2976-B2A7-4F04-88DC-0AB25CA8A6C6}" fitToPage="1" showRuler="0" topLeftCell="B1">
      <selection activeCell="E23" sqref="E23:E26"/>
      <pageMargins left="0" right="0" top="0" bottom="0" header="0" footer="0"/>
      <pageSetup scale="84" orientation="landscape" r:id="rId6"/>
      <headerFooter alignWithMargins="0"/>
    </customSheetView>
    <customSheetView guid="{CB724201-FBEC-4626-9DD9-AEC98BB80DB0}" fitToPage="1" showRuler="0" topLeftCell="B1">
      <selection activeCell="E23" sqref="E23:E26"/>
      <pageMargins left="0" right="0" top="0" bottom="0" header="0" footer="0"/>
      <pageSetup scale="84" orientation="landscape" r:id="rId7"/>
      <headerFooter alignWithMargins="0"/>
    </customSheetView>
  </customSheetViews>
  <phoneticPr fontId="0" type="noConversion"/>
  <printOptions horizontalCentered="1"/>
  <pageMargins left="0.45" right="0.45" top="1.25" bottom="0.75" header="0.3" footer="0.3"/>
  <pageSetup scale="69" fitToHeight="0" orientation="landscape" r:id="rId8"/>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Q42"/>
  <sheetViews>
    <sheetView showGridLines="0" showOutlineSymbols="0" zoomScaleNormal="100" zoomScalePageLayoutView="110" workbookViewId="0">
      <selection activeCell="G8" sqref="G8:G9"/>
    </sheetView>
  </sheetViews>
  <sheetFormatPr defaultColWidth="9" defaultRowHeight="19.899999999999999" customHeight="1" x14ac:dyDescent="0.2"/>
  <cols>
    <col min="1" max="1" width="4" style="78" customWidth="1"/>
    <col min="2" max="2" width="36" style="78" customWidth="1"/>
    <col min="3" max="3" width="13.7109375" style="78" customWidth="1"/>
    <col min="4" max="4" width="14.28515625" style="78" customWidth="1"/>
    <col min="5" max="5" width="18.28515625" style="78" customWidth="1"/>
    <col min="6" max="6" width="13.7109375" style="78" customWidth="1"/>
    <col min="7" max="7" width="15.42578125" style="78" customWidth="1"/>
    <col min="8" max="8" width="14.85546875" style="78" customWidth="1"/>
    <col min="9" max="9" width="14.140625" style="78" bestFit="1" customWidth="1"/>
    <col min="10" max="10" width="13.7109375" style="78" customWidth="1"/>
    <col min="11" max="11" width="14.140625" style="78" bestFit="1" customWidth="1"/>
    <col min="12" max="13" width="13.7109375" style="78" customWidth="1"/>
    <col min="14" max="14" width="13.5703125" style="78" bestFit="1" customWidth="1"/>
    <col min="15" max="15" width="6.5703125" style="78" hidden="1" customWidth="1"/>
    <col min="16" max="16" width="15.140625" style="78" bestFit="1" customWidth="1"/>
    <col min="17" max="17" width="12" style="78" bestFit="1" customWidth="1"/>
    <col min="18" max="16384" width="9" style="78"/>
  </cols>
  <sheetData>
    <row r="2" spans="1:17" ht="19.899999999999999" customHeight="1" x14ac:dyDescent="0.2">
      <c r="B2" s="79" t="s">
        <v>65</v>
      </c>
    </row>
    <row r="3" spans="1:17" ht="19.899999999999999" customHeight="1" x14ac:dyDescent="0.2">
      <c r="B3" s="79" t="s">
        <v>249</v>
      </c>
      <c r="G3" s="87"/>
      <c r="J3" s="87"/>
    </row>
    <row r="4" spans="1:17" ht="12.2" customHeight="1" x14ac:dyDescent="0.2"/>
    <row r="5" spans="1:17" ht="12.2" customHeight="1" x14ac:dyDescent="0.2">
      <c r="A5" s="80"/>
      <c r="C5" s="84"/>
      <c r="D5" s="84"/>
      <c r="E5" s="84"/>
      <c r="F5" s="84"/>
      <c r="G5" s="84"/>
      <c r="H5" s="84"/>
      <c r="I5" s="84"/>
      <c r="J5" s="84"/>
      <c r="K5" s="84"/>
      <c r="L5" s="84"/>
      <c r="M5" s="84"/>
      <c r="N5" s="84"/>
    </row>
    <row r="6" spans="1:17" ht="45" customHeight="1" thickBot="1" x14ac:dyDescent="0.25">
      <c r="A6" s="84"/>
      <c r="B6" s="76"/>
      <c r="C6" s="33" t="s">
        <v>74</v>
      </c>
      <c r="D6" s="33" t="s">
        <v>88</v>
      </c>
      <c r="E6" s="33" t="s">
        <v>76</v>
      </c>
      <c r="F6" s="33" t="s">
        <v>109</v>
      </c>
      <c r="G6" s="33" t="s">
        <v>77</v>
      </c>
      <c r="H6" s="33" t="s">
        <v>254</v>
      </c>
      <c r="I6" s="33" t="s">
        <v>90</v>
      </c>
      <c r="J6" s="33" t="s">
        <v>79</v>
      </c>
      <c r="K6" s="96" t="s">
        <v>110</v>
      </c>
      <c r="L6" s="33" t="s">
        <v>91</v>
      </c>
      <c r="M6" s="33" t="s">
        <v>111</v>
      </c>
      <c r="N6" s="33" t="s">
        <v>47</v>
      </c>
    </row>
    <row r="7" spans="1:17" ht="19.899999999999999" customHeight="1" x14ac:dyDescent="0.2">
      <c r="B7" s="81" t="s">
        <v>112</v>
      </c>
      <c r="C7" s="98"/>
      <c r="D7" s="98"/>
      <c r="E7" s="98"/>
      <c r="F7" s="98"/>
      <c r="G7" s="98"/>
      <c r="H7" s="98"/>
      <c r="I7" s="98"/>
      <c r="J7" s="98"/>
      <c r="K7" s="98"/>
      <c r="L7" s="98"/>
      <c r="M7" s="98"/>
      <c r="N7" s="99"/>
    </row>
    <row r="8" spans="1:17" ht="19.899999999999999" customHeight="1" thickBot="1" x14ac:dyDescent="0.25">
      <c r="A8" s="84"/>
      <c r="B8" s="56" t="s">
        <v>113</v>
      </c>
      <c r="C8" s="161">
        <f>[3]BUDGET!$D$10</f>
        <v>2846296.719878722</v>
      </c>
      <c r="D8" s="161">
        <f>[2]BUDGET!$B$10</f>
        <v>3512441.1024931096</v>
      </c>
      <c r="E8" s="161">
        <f>[5]BUDGET!$C$12</f>
        <v>349423.60347446171</v>
      </c>
      <c r="F8" s="161">
        <f>[5]BUDGET!$D$12+[4]BUDGET!$F$10</f>
        <v>1578470.9617556606</v>
      </c>
      <c r="G8" s="161">
        <f>[3]BUDGET!$C$10</f>
        <v>8524173.2697133701</v>
      </c>
      <c r="H8" s="161">
        <f>[6]BUDGET!$B$10+3</f>
        <v>3385071.6493277634</v>
      </c>
      <c r="I8" s="161">
        <f>[1]BUDGET!$B$10</f>
        <v>5918296.0905634779</v>
      </c>
      <c r="J8" s="161">
        <f>[4]BUDGET!$C$10+[4]BUDGET!$D$10+[4]BUDGET!$E$10+[4]BUDGET!$G$10</f>
        <v>3274938.2880949532</v>
      </c>
      <c r="K8" s="161">
        <f>[7]BUDGET!$C$10+[7]BUDGET!$D$10+[7]BUDGET!$E$10+[7]BUDGET!$G$10</f>
        <v>2879956.5138506056</v>
      </c>
      <c r="L8" s="161">
        <f>[7]BUDGET!$H$10+[7]BUDGET!$I$10+[7]BUDGET!$J$10</f>
        <v>788711.30633463548</v>
      </c>
      <c r="M8" s="161">
        <f>[7]BUDGET!$F$10</f>
        <v>1939737.1659250606</v>
      </c>
      <c r="N8" s="162">
        <f>SUM(C8:M8)</f>
        <v>34997516.67141182</v>
      </c>
      <c r="O8" s="152"/>
      <c r="P8" s="162">
        <v>37887694.715053082</v>
      </c>
      <c r="Q8" s="87">
        <f>N8-P8</f>
        <v>-2890178.0436412618</v>
      </c>
    </row>
    <row r="9" spans="1:17" ht="19.899999999999999" customHeight="1" thickBot="1" x14ac:dyDescent="0.25">
      <c r="A9" s="84"/>
      <c r="B9" s="56" t="s">
        <v>114</v>
      </c>
      <c r="C9" s="163">
        <f>[3]BUDGET!$D$11</f>
        <v>1307588.7131122849</v>
      </c>
      <c r="D9" s="163">
        <f>[2]BUDGET!$B$11</f>
        <v>1613615.4424853344</v>
      </c>
      <c r="E9" s="163">
        <f>[5]BUDGET!$C$13</f>
        <v>160525.20343616771</v>
      </c>
      <c r="F9" s="163">
        <f>[5]BUDGET!$D$13+[4]BUDGET!$F$11</f>
        <v>725149.55983055045</v>
      </c>
      <c r="G9" s="163">
        <f>[3]BUDGET!$C$11</f>
        <v>3916005.2001063218</v>
      </c>
      <c r="H9" s="163">
        <f>[6]BUDGET!$B$11</f>
        <v>1555100.5375011745</v>
      </c>
      <c r="I9" s="163">
        <f>[1]BUDGET!$B$11</f>
        <v>2718361.2240048614</v>
      </c>
      <c r="J9" s="163">
        <f>[4]BUDGET!$C$11+[4]BUDGET!$D$11+[4]BUDGET!$E$11+[4]BUDGET!$G$11</f>
        <v>1504506.6495508212</v>
      </c>
      <c r="K9" s="164">
        <f>[7]BUDGET!$C$11+[7]BUDGET!$D$11+[7]BUDGET!$E$11+[7]BUDGET!$G$11</f>
        <v>1323052.0224629682</v>
      </c>
      <c r="L9" s="163">
        <f>[7]BUDGET!$H$11+[7]BUDGET!$I$11+[7]BUDGET!$J$11</f>
        <v>362333.97413013154</v>
      </c>
      <c r="M9" s="163">
        <f>[7]BUDGET!$F$11</f>
        <v>891115.2540259728</v>
      </c>
      <c r="N9" s="154">
        <f>SUM(C9:M9)</f>
        <v>16077353.780646589</v>
      </c>
      <c r="O9" s="152"/>
      <c r="P9" s="154">
        <v>17814586.644417956</v>
      </c>
      <c r="Q9" s="87">
        <f t="shared" ref="Q9:Q24" si="0">N9-P9</f>
        <v>-1737232.8637713678</v>
      </c>
    </row>
    <row r="10" spans="1:17" ht="19.899999999999999" customHeight="1" thickBot="1" x14ac:dyDescent="0.25">
      <c r="A10" s="84"/>
      <c r="B10" s="56" t="s">
        <v>115</v>
      </c>
      <c r="C10" s="163">
        <f>[3]BUDGET!$D$13</f>
        <v>505112.46865170641</v>
      </c>
      <c r="D10" s="163">
        <f>[2]BUDGET!$B$13</f>
        <v>623328.47586937889</v>
      </c>
      <c r="E10" s="163">
        <f>[5]BUDGET!$C$15</f>
        <v>62009.774920332537</v>
      </c>
      <c r="F10" s="163">
        <f>[5]BUDGET!$D$15+[4]BUDGET!$F$13</f>
        <v>280120.25542488327</v>
      </c>
      <c r="G10" s="163">
        <f>[3]BUDGET!$C$13</f>
        <v>1514530.7019300745</v>
      </c>
      <c r="H10" s="163">
        <f>[6]BUDGET!$B$13</f>
        <v>600724.5731183989</v>
      </c>
      <c r="I10" s="163">
        <f>[1]BUDGET!$B$13</f>
        <v>1050217.5294515102</v>
      </c>
      <c r="J10" s="163">
        <f>[4]BUDGET!$C$13+[4]BUDGET!$D$13+[4]BUDGET!$E$13+[4]BUDGET!$G$13</f>
        <v>581180.50441772619</v>
      </c>
      <c r="K10" s="163">
        <f>-[7]BUDGET!$C$22-[7]BUDGET!$D$22-[7]BUDGET!$E$22-[7]BUDGET!$G$22</f>
        <v>-5702160.0951097179</v>
      </c>
      <c r="L10" s="163">
        <f>'[7]EE SUM'!$J$15+'[7]EE SUM'!$K$15</f>
        <v>139967.10610451567</v>
      </c>
      <c r="M10" s="163">
        <f>[7]BUDGET!$F$13</f>
        <v>344231.65426604566</v>
      </c>
      <c r="N10" s="231" t="s">
        <v>289</v>
      </c>
      <c r="O10" s="100" t="s">
        <v>247</v>
      </c>
      <c r="P10" s="154">
        <v>0.31675790023291484</v>
      </c>
      <c r="Q10" s="87">
        <f>K10-[8]ALLEXP!$K$10</f>
        <v>67734.928337034769</v>
      </c>
    </row>
    <row r="11" spans="1:17" ht="19.899999999999999" customHeight="1" thickBot="1" x14ac:dyDescent="0.25">
      <c r="A11" s="84"/>
      <c r="B11" s="56" t="s">
        <v>116</v>
      </c>
      <c r="C11" s="163">
        <f>[3]BUDGET!$D$14</f>
        <v>104150</v>
      </c>
      <c r="D11" s="163">
        <f>[2]BUDGET!$B$14</f>
        <v>1864351</v>
      </c>
      <c r="E11" s="163">
        <f>[5]BUDGET!$C$16</f>
        <v>26044</v>
      </c>
      <c r="F11" s="163">
        <f>[5]BUDGET!$D$16+[4]BUDGET!$F$14</f>
        <v>265665</v>
      </c>
      <c r="G11" s="163">
        <f>[3]BUDGET!$C$14</f>
        <v>7394850</v>
      </c>
      <c r="H11" s="163">
        <f>[6]BUDGET!$B$14</f>
        <v>488000</v>
      </c>
      <c r="I11" s="163">
        <f>[1]BUDGET!$B$14</f>
        <v>9274750</v>
      </c>
      <c r="J11" s="163">
        <f>[4]BUDGET!$E$14+[4]BUDGET!$G$14</f>
        <v>3143050</v>
      </c>
      <c r="K11" s="163">
        <f>[7]BUDGET!$C$14+[7]BUDGET!$D$14+[7]BUDGET!$G$14+[7]BUDGET!$E$14</f>
        <v>124000</v>
      </c>
      <c r="L11" s="163">
        <f>[7]BUDGET!$H$14+[7]BUDGET!$I$14+[7]BUDGET!$J$14</f>
        <v>406000</v>
      </c>
      <c r="M11" s="163">
        <f>[7]BUDGET!$F$14</f>
        <v>336980</v>
      </c>
      <c r="N11" s="154">
        <f>SUM(C11:M11)</f>
        <v>23427840</v>
      </c>
      <c r="O11" s="152"/>
      <c r="P11" s="154">
        <v>20414077.5</v>
      </c>
      <c r="Q11" s="87">
        <f t="shared" si="0"/>
        <v>3013762.5</v>
      </c>
    </row>
    <row r="12" spans="1:17" ht="19.899999999999999" customHeight="1" thickBot="1" x14ac:dyDescent="0.25">
      <c r="A12" s="84"/>
      <c r="B12" s="56" t="s">
        <v>117</v>
      </c>
      <c r="C12" s="163">
        <f>[3]BUDGET!$D$16</f>
        <v>110056</v>
      </c>
      <c r="D12" s="163">
        <f>[2]BUDGET!$B$16</f>
        <v>122629</v>
      </c>
      <c r="E12" s="163">
        <v>0</v>
      </c>
      <c r="F12" s="163">
        <f>[5]BUDGET!$D$18+[4]BUDGET!$F$16</f>
        <v>32575</v>
      </c>
      <c r="G12" s="163">
        <f>[3]BUDGET!$C$16</f>
        <v>268000</v>
      </c>
      <c r="H12" s="163">
        <f>[6]BUDGET!$B$16</f>
        <v>108000</v>
      </c>
      <c r="I12" s="163">
        <f>[1]BUDGET!$B$16</f>
        <v>114706</v>
      </c>
      <c r="J12" s="163">
        <f>[4]BUDGET!$C$16+[4]BUDGET!$D$16+[4]BUDGET!$E$16+[4]BUDGET!$G$16</f>
        <v>61550</v>
      </c>
      <c r="K12" s="163">
        <f>[7]BUDGET!$C$16+[7]BUDGET!$D$16+[7]BUDGET!$E$16+[7]BUDGET!$G$16</f>
        <v>55500</v>
      </c>
      <c r="L12" s="163">
        <f>[7]BUDGET!$H$16+[7]BUDGET!$I$16+[7]BUDGET!$J$16</f>
        <v>12654</v>
      </c>
      <c r="M12" s="163">
        <f>[7]BUDGET!$F$16</f>
        <v>14200</v>
      </c>
      <c r="N12" s="154">
        <f t="shared" ref="N12:N15" si="1">SUM(C12:M12)</f>
        <v>899870</v>
      </c>
      <c r="O12" s="152"/>
      <c r="P12" s="154">
        <v>909870</v>
      </c>
      <c r="Q12" s="87">
        <f t="shared" si="0"/>
        <v>-10000</v>
      </c>
    </row>
    <row r="13" spans="1:17" ht="19.899999999999999" customHeight="1" thickBot="1" x14ac:dyDescent="0.25">
      <c r="A13" s="84"/>
      <c r="B13" s="56" t="s">
        <v>118</v>
      </c>
      <c r="C13" s="163">
        <f>[3]BUDGET!$D$17</f>
        <v>210028.19205545029</v>
      </c>
      <c r="D13" s="163">
        <f>[2]BUDGET!$B$17</f>
        <v>195118.85382836027</v>
      </c>
      <c r="E13" s="163">
        <f>[5]BUDGET!$C$19</f>
        <v>19921.733153103294</v>
      </c>
      <c r="F13" s="163">
        <f>[5]BUDGET!$D$19+[4]BUDGET!$F$17</f>
        <v>86031.153835567369</v>
      </c>
      <c r="G13" s="163">
        <f>[3]BUDGET!$C$17</f>
        <v>652705.18118007318</v>
      </c>
      <c r="H13" s="163">
        <f>[6]BUDGET!$B$17</f>
        <v>201288.88298399909</v>
      </c>
      <c r="I13" s="163">
        <f>[1]BUDGET!$B$17</f>
        <v>289786.08163098322</v>
      </c>
      <c r="J13" s="163">
        <f>[4]BUDGET!$C$17+[4]BUDGET!$D$17+[4]BUDGET!$E$17+[4]BUDGET!$G$17</f>
        <v>191471.81085014428</v>
      </c>
      <c r="K13" s="163">
        <f>[7]BUDGET!$C$17+[7]BUDGET!$D$17+[7]BUDGET!$E$17+[7]BUDGET!$G$17</f>
        <v>141965.55879614427</v>
      </c>
      <c r="L13" s="163">
        <f>[7]BUDGET!$H$17+[7]BUDGET!$I$17+[7]BUDGET!$J$17+0.03</f>
        <v>19699.678415025082</v>
      </c>
      <c r="M13" s="163">
        <f>[7]BUDGET!$F$17</f>
        <v>110012.22042625443</v>
      </c>
      <c r="N13" s="154">
        <f t="shared" si="1"/>
        <v>2118029.3471551049</v>
      </c>
      <c r="O13" s="152"/>
      <c r="P13" s="154">
        <v>2525527.0300000007</v>
      </c>
      <c r="Q13" s="87">
        <f t="shared" si="0"/>
        <v>-407497.68284489587</v>
      </c>
    </row>
    <row r="14" spans="1:17" ht="19.899999999999999" customHeight="1" thickBot="1" x14ac:dyDescent="0.25">
      <c r="A14" s="84"/>
      <c r="B14" s="56" t="s">
        <v>119</v>
      </c>
      <c r="C14" s="163">
        <f>[3]BUDGET!$D$23</f>
        <v>602027.67497495341</v>
      </c>
      <c r="D14" s="163">
        <f>[2]BUDGET!$B$23</f>
        <v>559382.91547050443</v>
      </c>
      <c r="E14" s="163">
        <f>[5]BUDGET!$C$25</f>
        <v>57103.832835615918</v>
      </c>
      <c r="F14" s="163">
        <f>-[5]BUDGET!$D$28-[4]BUDGET!$F$26</f>
        <v>-4443846.483294161</v>
      </c>
      <c r="G14" s="163">
        <f>[3]BUDGET!$C$23</f>
        <v>1268977.063013687</v>
      </c>
      <c r="H14" s="163">
        <f>[6]BUDGET!$B$23</f>
        <v>577064.73715417704</v>
      </c>
      <c r="I14" s="163">
        <f>[1]BUDGET!$B$22</f>
        <v>830647.39798667456</v>
      </c>
      <c r="J14" s="163">
        <f>[4]BUDGET!$C$23+[4]BUDGET!$D$23+[4]BUDGET!$E$23+[4]BUDGET!$G$23</f>
        <v>548837.79908823874</v>
      </c>
      <c r="K14" s="163">
        <v>0</v>
      </c>
      <c r="L14" s="163">
        <v>0</v>
      </c>
      <c r="M14" s="163">
        <v>0</v>
      </c>
      <c r="N14" s="231" t="s">
        <v>289</v>
      </c>
      <c r="O14" s="100" t="s">
        <v>247</v>
      </c>
      <c r="P14" s="154">
        <v>5.8207660913467407E-10</v>
      </c>
      <c r="Q14" s="87">
        <f>F14-[8]ALLEXP!$F$14</f>
        <v>173382.6479836572</v>
      </c>
    </row>
    <row r="15" spans="1:17" ht="19.899999999999999" customHeight="1" thickBot="1" x14ac:dyDescent="0.25">
      <c r="A15" s="84"/>
      <c r="B15" s="56" t="s">
        <v>120</v>
      </c>
      <c r="C15" s="163">
        <f>[3]BUDGET!$D$18</f>
        <v>22075.34</v>
      </c>
      <c r="D15" s="163">
        <f>[2]BUDGET!$B$18</f>
        <v>100000</v>
      </c>
      <c r="E15" s="163">
        <v>0</v>
      </c>
      <c r="F15" s="163">
        <f>[5]BUDGET!$D$20+[4]BUDGET!$F$18</f>
        <v>14730</v>
      </c>
      <c r="G15" s="163">
        <f>[3]BUDGET!$C$18</f>
        <v>140000.00333333333</v>
      </c>
      <c r="H15" s="163">
        <f>[6]BUDGET!$B$18</f>
        <v>42200</v>
      </c>
      <c r="I15" s="163">
        <f>[1]BUDGET!$B$18</f>
        <v>35000</v>
      </c>
      <c r="J15" s="163">
        <f>[4]BUDGET!$C$18+[4]BUDGET!$D$18+[4]BUDGET!$E$18+[4]BUDGET!$G$18</f>
        <v>50460</v>
      </c>
      <c r="K15" s="163">
        <f>[7]BUDGET!$D$18+[7]BUDGET!$C$18+[7]BUDGET!$E$18+[7]BUDGET!$G$18</f>
        <v>30500</v>
      </c>
      <c r="L15" s="163">
        <f>[7]BUDGET!$H$18+[7]BUDGET!$I$18+[7]BUDGET!$J$18+0.03</f>
        <v>10269.030000000001</v>
      </c>
      <c r="M15" s="163">
        <f>[7]BUDGET!$F$18</f>
        <v>17600</v>
      </c>
      <c r="N15" s="154">
        <f t="shared" si="1"/>
        <v>462834.37333333335</v>
      </c>
      <c r="O15" s="152"/>
      <c r="P15" s="154">
        <v>545834.37333333329</v>
      </c>
      <c r="Q15" s="87">
        <f t="shared" si="0"/>
        <v>-82999.999999999942</v>
      </c>
    </row>
    <row r="16" spans="1:17" ht="19.899999999999999" customHeight="1" thickBot="1" x14ac:dyDescent="0.25">
      <c r="A16" s="84"/>
      <c r="B16" s="56" t="s">
        <v>121</v>
      </c>
      <c r="C16" s="163">
        <f>[3]BUDGET!$D$24</f>
        <v>630226.73558967572</v>
      </c>
      <c r="D16" s="163">
        <f>[2]BUDGET!$B$24</f>
        <v>585589.62939210131</v>
      </c>
      <c r="E16" s="163">
        <f>[5]BUDGET!$C$26</f>
        <v>59778.683659068774</v>
      </c>
      <c r="F16" s="163">
        <f>[5]BUDGET!$D$26+[4]BUDGET!$F$24</f>
        <v>258151.69244749891</v>
      </c>
      <c r="G16" s="163">
        <f>[3]BUDGET!$C$24</f>
        <v>1327566.1924237504</v>
      </c>
      <c r="H16" s="163">
        <f>[6]BUDGET!$B$24</f>
        <v>604101.09584660991</v>
      </c>
      <c r="I16" s="163">
        <f>[1]BUDGET!$B$23</f>
        <v>869554.38914315263</v>
      </c>
      <c r="J16" s="163">
        <f>[4]BUDGET!$C$24+[4]BUDGET!$D$24+[4]BUDGET!$E$24+[4]BUDGET!$G$24</f>
        <v>574545.0319244361</v>
      </c>
      <c r="K16" s="163">
        <v>0</v>
      </c>
      <c r="L16" s="163">
        <v>0</v>
      </c>
      <c r="M16" s="163">
        <f>-[7]BUDGET!$F$22</f>
        <v>-4910156.2946433332</v>
      </c>
      <c r="N16" s="154" t="s">
        <v>289</v>
      </c>
      <c r="O16" s="100" t="s">
        <v>247</v>
      </c>
      <c r="P16" s="254">
        <v>0</v>
      </c>
      <c r="Q16" s="87">
        <f>M16-[8]ALLEXP!$M$16</f>
        <v>-83138.015735883266</v>
      </c>
    </row>
    <row r="17" spans="1:17" ht="19.899999999999999" customHeight="1" thickBot="1" x14ac:dyDescent="0.25">
      <c r="A17" s="84"/>
      <c r="B17" s="56" t="s">
        <v>122</v>
      </c>
      <c r="C17" s="166">
        <f>[3]BUDGET!$D$20</f>
        <v>154055</v>
      </c>
      <c r="D17" s="166">
        <f>[2]BUDGET!$B$20</f>
        <v>3330017</v>
      </c>
      <c r="E17" s="166">
        <f>[5]BUDGET!$C$22</f>
        <v>1325535.1000000001</v>
      </c>
      <c r="F17" s="166">
        <f>[5]BUDGET!$D$22+[4]BUDGET!$F$20</f>
        <v>1202952.8599999999</v>
      </c>
      <c r="G17" s="166">
        <f>[3]BUDGET!$C$20</f>
        <v>859800</v>
      </c>
      <c r="H17" s="166">
        <f>[6]BUDGET!$B$20</f>
        <v>520200</v>
      </c>
      <c r="I17" s="166">
        <f>[1]BUDGET!$B$20-1</f>
        <v>1778029</v>
      </c>
      <c r="J17" s="166">
        <f>[4]BUDGET!$C$20+[4]BUDGET!$D$20+[4]BUDGET!$E$20+[4]BUDGET!$G$20</f>
        <v>366480</v>
      </c>
      <c r="K17" s="166">
        <f>[7]BUDGET!$C$20+[7]BUDGET!$D$20+[7]BUDGET!$E$20+[7]BUDGET!$G$20</f>
        <v>1147186</v>
      </c>
      <c r="L17" s="166">
        <f>[7]BUDGET!$H$20+[7]BUDGET!$I$20+[7]BUDGET!$J$20-3</f>
        <v>346406</v>
      </c>
      <c r="M17" s="166">
        <f>[7]BUDGET!$F$20</f>
        <v>631280</v>
      </c>
      <c r="N17" s="167">
        <f>SUM(C17:M17)</f>
        <v>11661940.959999999</v>
      </c>
      <c r="O17" s="152"/>
      <c r="P17" s="167">
        <v>11731021.659999998</v>
      </c>
      <c r="Q17" s="87">
        <f t="shared" si="0"/>
        <v>-69080.699999999255</v>
      </c>
    </row>
    <row r="18" spans="1:17" ht="19.899999999999999" customHeight="1" x14ac:dyDescent="0.2">
      <c r="A18" s="84"/>
      <c r="B18" s="56" t="s">
        <v>123</v>
      </c>
      <c r="C18" s="87">
        <f>SUM(C8:C17)</f>
        <v>6491616.8442627937</v>
      </c>
      <c r="D18" s="87">
        <f t="shared" ref="D18:L18" si="2">SUM(D8:D17)</f>
        <v>12506473.419538788</v>
      </c>
      <c r="E18" s="87">
        <f>SUM(E8:E17)</f>
        <v>2060341.93147875</v>
      </c>
      <c r="F18" s="87">
        <f>SUM(F8:F17)</f>
        <v>0</v>
      </c>
      <c r="G18" s="87">
        <f t="shared" si="2"/>
        <v>25866607.611700609</v>
      </c>
      <c r="H18" s="87">
        <f t="shared" si="2"/>
        <v>8081751.4759321231</v>
      </c>
      <c r="I18" s="87">
        <f>SUM(I8:I17)</f>
        <v>22879347.712780658</v>
      </c>
      <c r="J18" s="87">
        <f t="shared" si="2"/>
        <v>10297020.083926318</v>
      </c>
      <c r="K18" s="87">
        <f t="shared" si="2"/>
        <v>0</v>
      </c>
      <c r="L18" s="87">
        <f t="shared" si="2"/>
        <v>2086041.0949843079</v>
      </c>
      <c r="M18" s="87">
        <f>SUM(M8:M17)</f>
        <v>-624999.99999999953</v>
      </c>
      <c r="N18" s="168">
        <f>SUM(C18:M18)+2</f>
        <v>89644202.174604341</v>
      </c>
      <c r="P18" s="168">
        <v>91828614.239562273</v>
      </c>
      <c r="Q18" s="87">
        <f t="shared" si="0"/>
        <v>-2184412.0649579316</v>
      </c>
    </row>
    <row r="19" spans="1:17" ht="11.25" customHeight="1" x14ac:dyDescent="0.2">
      <c r="A19" s="84"/>
      <c r="B19" s="56"/>
      <c r="C19" s="97"/>
      <c r="D19" s="97"/>
      <c r="E19" s="97"/>
      <c r="F19" s="97"/>
      <c r="G19" s="97"/>
      <c r="H19" s="97"/>
      <c r="I19" s="97"/>
      <c r="J19" s="97"/>
      <c r="K19" s="97"/>
      <c r="L19" s="97"/>
      <c r="M19" s="97"/>
      <c r="N19" s="169"/>
      <c r="P19" s="169"/>
      <c r="Q19" s="87">
        <f t="shared" si="0"/>
        <v>0</v>
      </c>
    </row>
    <row r="20" spans="1:17" ht="19.899999999999999" customHeight="1" x14ac:dyDescent="0.2">
      <c r="A20" s="84"/>
      <c r="B20" s="56"/>
      <c r="C20" s="170"/>
      <c r="D20" s="170"/>
      <c r="E20" s="170"/>
      <c r="F20" s="170"/>
      <c r="G20" s="170"/>
      <c r="H20" s="170"/>
      <c r="I20" s="170"/>
      <c r="J20" s="170"/>
      <c r="K20" s="170"/>
      <c r="L20" s="170"/>
      <c r="M20" s="170"/>
      <c r="N20" s="171"/>
      <c r="P20" s="171"/>
      <c r="Q20" s="87">
        <f t="shared" si="0"/>
        <v>0</v>
      </c>
    </row>
    <row r="21" spans="1:17" ht="19.899999999999999" customHeight="1" x14ac:dyDescent="0.2">
      <c r="A21" s="84"/>
      <c r="B21" s="56" t="s">
        <v>124</v>
      </c>
      <c r="C21" s="87">
        <v>0</v>
      </c>
      <c r="D21" s="87">
        <f>[2]BUDGET!$B$19</f>
        <v>3695000</v>
      </c>
      <c r="E21" s="87">
        <v>0</v>
      </c>
      <c r="F21" s="87">
        <v>0</v>
      </c>
      <c r="G21" s="87">
        <v>0</v>
      </c>
      <c r="H21" s="87">
        <v>0</v>
      </c>
      <c r="I21" s="87">
        <v>0</v>
      </c>
      <c r="J21" s="87">
        <v>0</v>
      </c>
      <c r="K21" s="87">
        <v>0</v>
      </c>
      <c r="L21" s="87">
        <v>0</v>
      </c>
      <c r="M21" s="87">
        <f>[7]BUDGET!$F$19</f>
        <v>625000</v>
      </c>
      <c r="N21" s="172">
        <f>SUM(C21:M21)</f>
        <v>4320000</v>
      </c>
      <c r="O21" s="152"/>
      <c r="P21" s="172">
        <v>5220000</v>
      </c>
      <c r="Q21" s="87">
        <f t="shared" si="0"/>
        <v>-900000</v>
      </c>
    </row>
    <row r="22" spans="1:17" ht="19.899999999999999" customHeight="1" thickBot="1" x14ac:dyDescent="0.25">
      <c r="A22" s="84"/>
      <c r="B22" s="56" t="s">
        <v>125</v>
      </c>
      <c r="C22" s="173">
        <f>[3]BUDGET!$D$15</f>
        <v>12566466</v>
      </c>
      <c r="D22" s="173">
        <f>[2]BUDGET!$B$15</f>
        <v>7492500</v>
      </c>
      <c r="E22" s="173">
        <v>0</v>
      </c>
      <c r="F22" s="173">
        <v>0</v>
      </c>
      <c r="G22" s="173">
        <f>[3]BUDGET!$C$15</f>
        <v>468217031.00999999</v>
      </c>
      <c r="H22" s="173">
        <f>[6]BUDGET!$B$15</f>
        <v>5112100</v>
      </c>
      <c r="I22" s="173">
        <f>[1]BUDGET!$B$15</f>
        <v>7475000</v>
      </c>
      <c r="J22" s="173">
        <v>0</v>
      </c>
      <c r="K22" s="173">
        <v>0</v>
      </c>
      <c r="L22" s="173">
        <v>0</v>
      </c>
      <c r="M22" s="173">
        <v>0</v>
      </c>
      <c r="N22" s="174">
        <f>SUM(C22:M22)</f>
        <v>500863097.00999999</v>
      </c>
      <c r="O22" s="152"/>
      <c r="P22" s="174">
        <v>497596133.30000001</v>
      </c>
      <c r="Q22" s="87">
        <f t="shared" si="0"/>
        <v>3266963.7099999785</v>
      </c>
    </row>
    <row r="23" spans="1:17" ht="19.899999999999999" customHeight="1" thickBot="1" x14ac:dyDescent="0.25">
      <c r="A23" s="84"/>
      <c r="B23" s="56"/>
      <c r="C23" s="170"/>
      <c r="D23" s="170"/>
      <c r="E23" s="170"/>
      <c r="F23" s="170"/>
      <c r="G23" s="170"/>
      <c r="H23" s="170"/>
      <c r="I23" s="170"/>
      <c r="J23" s="170"/>
      <c r="K23" s="170"/>
      <c r="L23" s="170"/>
      <c r="M23" s="170"/>
      <c r="N23" s="171"/>
      <c r="P23" s="171"/>
      <c r="Q23" s="87">
        <f t="shared" si="0"/>
        <v>0</v>
      </c>
    </row>
    <row r="24" spans="1:17" ht="19.899999999999999" customHeight="1" thickBot="1" x14ac:dyDescent="0.25">
      <c r="A24" s="84"/>
      <c r="B24" s="56" t="s">
        <v>126</v>
      </c>
      <c r="C24" s="175">
        <f>SUM(C18:C23)</f>
        <v>19058082.844262794</v>
      </c>
      <c r="D24" s="175">
        <f t="shared" ref="D24:L24" si="3">SUM(D18:D23)</f>
        <v>23693973.419538788</v>
      </c>
      <c r="E24" s="175">
        <f t="shared" si="3"/>
        <v>2060341.93147875</v>
      </c>
      <c r="F24" s="176">
        <f>SUM(F18:F23)</f>
        <v>0</v>
      </c>
      <c r="G24" s="175">
        <f>SUM(G18:G23)</f>
        <v>494083638.62170058</v>
      </c>
      <c r="H24" s="175">
        <f t="shared" si="3"/>
        <v>13193851.475932123</v>
      </c>
      <c r="I24" s="175">
        <f>SUM(I18:I23)</f>
        <v>30354347.712780658</v>
      </c>
      <c r="J24" s="175">
        <f>SUM(J18:J23)</f>
        <v>10297020.083926318</v>
      </c>
      <c r="K24" s="176">
        <f t="shared" si="3"/>
        <v>0</v>
      </c>
      <c r="L24" s="175">
        <f t="shared" si="3"/>
        <v>2086041.0949843079</v>
      </c>
      <c r="M24" s="176">
        <v>0</v>
      </c>
      <c r="N24" s="177">
        <f>SUM(C24:M24)</f>
        <v>594827297.18460441</v>
      </c>
      <c r="P24" s="177">
        <v>594644745.53956234</v>
      </c>
      <c r="Q24" s="87">
        <f t="shared" si="0"/>
        <v>182551.64504206181</v>
      </c>
    </row>
    <row r="25" spans="1:17" ht="11.25" customHeight="1" thickTop="1" thickBot="1" x14ac:dyDescent="0.25">
      <c r="B25" s="93"/>
      <c r="C25" s="94"/>
      <c r="D25" s="94"/>
      <c r="E25" s="94"/>
      <c r="F25" s="94"/>
      <c r="G25" s="94"/>
      <c r="H25" s="94"/>
      <c r="I25" s="94"/>
      <c r="J25" s="94"/>
      <c r="K25" s="94"/>
      <c r="L25" s="94"/>
      <c r="M25" s="94"/>
      <c r="N25" s="95"/>
    </row>
    <row r="26" spans="1:17" ht="19.899999999999999" hidden="1" customHeight="1" x14ac:dyDescent="0.2">
      <c r="C26" s="235">
        <f t="shared" ref="C26:M26" si="4">+C9/C8</f>
        <v>0.45940000000000003</v>
      </c>
      <c r="D26" s="235">
        <f t="shared" si="4"/>
        <v>0.45939999999999992</v>
      </c>
      <c r="E26" s="235">
        <f t="shared" si="4"/>
        <v>0.45939999999999998</v>
      </c>
      <c r="F26" s="235">
        <f t="shared" si="4"/>
        <v>0.45939999999999998</v>
      </c>
      <c r="G26" s="235">
        <f t="shared" si="4"/>
        <v>0.45939999999999998</v>
      </c>
      <c r="H26" s="235">
        <f t="shared" si="4"/>
        <v>0.45939959285943022</v>
      </c>
      <c r="I26" s="236">
        <f t="shared" si="4"/>
        <v>0.45931484035399922</v>
      </c>
      <c r="J26" s="237">
        <f t="shared" si="4"/>
        <v>0.45939999999999992</v>
      </c>
      <c r="K26" s="237">
        <f t="shared" si="4"/>
        <v>0.45940000000000003</v>
      </c>
      <c r="L26" s="237">
        <f t="shared" si="4"/>
        <v>0.45939999999999998</v>
      </c>
      <c r="M26" s="237">
        <f t="shared" si="4"/>
        <v>0.45939999999999998</v>
      </c>
    </row>
    <row r="27" spans="1:17" ht="19.899999999999999" hidden="1" customHeight="1" x14ac:dyDescent="0.2">
      <c r="C27" s="101">
        <f>(C8+C9)*0.12386</f>
        <v>514500.24973026611</v>
      </c>
      <c r="D27" s="101">
        <f t="shared" ref="D27:J27" si="5">(D8+D9)*0.1216</f>
        <v>623328.47586937877</v>
      </c>
      <c r="E27" s="101">
        <f t="shared" si="5"/>
        <v>62009.774920332537</v>
      </c>
      <c r="F27" s="101">
        <f t="shared" si="5"/>
        <v>280120.25542488327</v>
      </c>
      <c r="G27" s="101">
        <f t="shared" si="5"/>
        <v>1512725.7019300745</v>
      </c>
      <c r="H27" s="101">
        <f t="shared" si="5"/>
        <v>600724.93791839876</v>
      </c>
      <c r="I27" s="101">
        <f t="shared" si="5"/>
        <v>1050217.5294515099</v>
      </c>
      <c r="J27" s="101">
        <f t="shared" si="5"/>
        <v>581180.50441772619</v>
      </c>
      <c r="K27" s="101">
        <f t="shared" ref="K27" si="6">(K8+K9)*0.1239</f>
        <v>520752.75764925178</v>
      </c>
      <c r="L27" s="101">
        <f>(L8+L9)*0.1216</f>
        <v>139967.10610451567</v>
      </c>
      <c r="M27" s="101">
        <f>(M8+M9)*0.1216</f>
        <v>344231.65426604566</v>
      </c>
      <c r="N27" s="97"/>
    </row>
    <row r="28" spans="1:17" ht="19.899999999999999" hidden="1" customHeight="1" x14ac:dyDescent="0.2">
      <c r="C28" s="97">
        <f>C27-C10</f>
        <v>9387.7810785596957</v>
      </c>
      <c r="D28" s="97">
        <f t="shared" ref="D28:J28" si="7">D27-D10</f>
        <v>0</v>
      </c>
      <c r="E28" s="97">
        <f t="shared" si="7"/>
        <v>0</v>
      </c>
      <c r="F28" s="97">
        <f t="shared" si="7"/>
        <v>0</v>
      </c>
      <c r="G28" s="97">
        <f>G27-G10</f>
        <v>-1805</v>
      </c>
      <c r="H28" s="97">
        <f t="shared" si="7"/>
        <v>0.36479999986477196</v>
      </c>
      <c r="I28" s="97">
        <f t="shared" si="7"/>
        <v>0</v>
      </c>
      <c r="J28" s="97">
        <f t="shared" si="7"/>
        <v>0</v>
      </c>
      <c r="K28" s="97"/>
      <c r="L28" s="97">
        <f>L27-L10</f>
        <v>0</v>
      </c>
      <c r="M28" s="97">
        <f>M27-M10</f>
        <v>0</v>
      </c>
      <c r="N28" s="101"/>
    </row>
    <row r="29" spans="1:17" ht="19.899999999999999" hidden="1" customHeight="1" x14ac:dyDescent="0.2">
      <c r="C29" s="97"/>
      <c r="D29" s="97"/>
      <c r="E29" s="97"/>
      <c r="F29" s="97"/>
      <c r="G29" s="97"/>
      <c r="H29" s="97"/>
      <c r="I29" s="97"/>
      <c r="J29" s="97"/>
      <c r="K29" s="97"/>
      <c r="L29" s="97"/>
      <c r="M29" s="97"/>
      <c r="N29" s="100"/>
    </row>
    <row r="30" spans="1:17" ht="19.899999999999999" hidden="1" customHeight="1" x14ac:dyDescent="0.2">
      <c r="C30" s="238">
        <f>(C8+C9)*12.39/100</f>
        <v>514666.40514758579</v>
      </c>
      <c r="D30" s="238">
        <f t="shared" ref="D30:M30" si="8">(D8+D9)*12.39/100</f>
        <v>635118.40592282917</v>
      </c>
      <c r="E30" s="238">
        <f t="shared" si="8"/>
        <v>63182.657176226981</v>
      </c>
      <c r="F30" s="238">
        <f t="shared" si="8"/>
        <v>285418.58262453153</v>
      </c>
      <c r="G30" s="238">
        <f t="shared" si="8"/>
        <v>1541338.1124106599</v>
      </c>
      <c r="H30" s="238">
        <f t="shared" si="8"/>
        <v>612087.33394810534</v>
      </c>
      <c r="I30" s="238">
        <f t="shared" si="8"/>
        <v>1070081.8412750172</v>
      </c>
      <c r="J30" s="238">
        <f t="shared" si="8"/>
        <v>592173.22777431144</v>
      </c>
      <c r="K30" s="238">
        <f t="shared" si="8"/>
        <v>520752.75764925184</v>
      </c>
      <c r="L30" s="238">
        <f t="shared" si="8"/>
        <v>142614.51024958462</v>
      </c>
      <c r="M30" s="238">
        <f t="shared" si="8"/>
        <v>350742.614831933</v>
      </c>
    </row>
    <row r="31" spans="1:17" ht="19.899999999999999" hidden="1" customHeight="1" x14ac:dyDescent="0.2"/>
    <row r="32" spans="1:17" ht="19.899999999999999" hidden="1" customHeight="1" x14ac:dyDescent="0.2">
      <c r="C32" s="101">
        <f>C30-C10</f>
        <v>9553.936495879374</v>
      </c>
      <c r="D32" s="101">
        <f t="shared" ref="D32:M32" si="9">D30-D10</f>
        <v>11789.930053450284</v>
      </c>
      <c r="E32" s="101">
        <f t="shared" si="9"/>
        <v>1172.8822558944448</v>
      </c>
      <c r="F32" s="101">
        <f t="shared" si="9"/>
        <v>5298.3271996482508</v>
      </c>
      <c r="G32" s="101">
        <f t="shared" si="9"/>
        <v>26807.410480585415</v>
      </c>
      <c r="H32" s="101">
        <f t="shared" si="9"/>
        <v>11362.760829706443</v>
      </c>
      <c r="I32" s="101">
        <f t="shared" si="9"/>
        <v>19864.311823507072</v>
      </c>
      <c r="J32" s="101">
        <f t="shared" si="9"/>
        <v>10992.723356585251</v>
      </c>
      <c r="K32" s="101"/>
      <c r="L32" s="101">
        <f t="shared" si="9"/>
        <v>2647.4041450689547</v>
      </c>
      <c r="M32" s="101">
        <f t="shared" si="9"/>
        <v>6510.9605658873334</v>
      </c>
    </row>
    <row r="33" spans="2:14" ht="19.899999999999999" hidden="1" customHeight="1" x14ac:dyDescent="0.2"/>
    <row r="34" spans="2:14" ht="19.899999999999999" hidden="1" customHeight="1" x14ac:dyDescent="0.2">
      <c r="C34" s="87">
        <f>APLREV!C25</f>
        <v>19058082.84426279</v>
      </c>
      <c r="D34" s="87">
        <f>APLREV!D25</f>
        <v>23693973.419538788</v>
      </c>
      <c r="E34" s="87">
        <f>APLREV!E25</f>
        <v>2060341.9314787497</v>
      </c>
      <c r="G34" s="87">
        <f>APLREV!F25</f>
        <v>494083638.62170058</v>
      </c>
      <c r="H34" s="87">
        <f>APLREV!G25</f>
        <v>13193851.728108961</v>
      </c>
      <c r="I34" s="87">
        <f>APLREV!H25</f>
        <v>30354348.712780662</v>
      </c>
      <c r="J34" s="87">
        <f>APLREV!I25</f>
        <v>10297020.083926322</v>
      </c>
      <c r="L34" s="87">
        <f>APLREV!J25</f>
        <v>2086040</v>
      </c>
    </row>
    <row r="35" spans="2:14" ht="19.899999999999999" hidden="1" customHeight="1" x14ac:dyDescent="0.2">
      <c r="C35" s="87">
        <f t="shared" ref="C35:K35" si="10">C34-C24</f>
        <v>0</v>
      </c>
      <c r="D35" s="87">
        <f t="shared" si="10"/>
        <v>0</v>
      </c>
      <c r="E35" s="87">
        <f t="shared" si="10"/>
        <v>0</v>
      </c>
      <c r="F35" s="87">
        <f t="shared" si="10"/>
        <v>0</v>
      </c>
      <c r="G35" s="87">
        <f t="shared" si="10"/>
        <v>0</v>
      </c>
      <c r="H35" s="87">
        <f>H34-H24</f>
        <v>0.25217683799564838</v>
      </c>
      <c r="I35" s="87">
        <f t="shared" si="10"/>
        <v>1.0000000037252903</v>
      </c>
      <c r="J35" s="87">
        <f t="shared" si="10"/>
        <v>0</v>
      </c>
      <c r="K35" s="87">
        <f t="shared" si="10"/>
        <v>0</v>
      </c>
      <c r="L35" s="87">
        <f>L34-L24</f>
        <v>-1.09498430788517</v>
      </c>
    </row>
    <row r="36" spans="2:14" ht="19.899999999999999" hidden="1" customHeight="1" x14ac:dyDescent="0.2"/>
    <row r="37" spans="2:14" ht="19.899999999999999" hidden="1" customHeight="1" x14ac:dyDescent="0.2">
      <c r="D37" s="87"/>
      <c r="E37" s="87"/>
      <c r="F37" s="89"/>
      <c r="H37" s="87"/>
      <c r="I37" s="87"/>
      <c r="J37" s="87"/>
      <c r="K37" s="89"/>
      <c r="N37" s="87"/>
    </row>
    <row r="38" spans="2:14" ht="19.899999999999999" hidden="1" customHeight="1" thickBot="1" x14ac:dyDescent="0.25">
      <c r="B38" s="93"/>
      <c r="C38" s="239"/>
      <c r="D38" s="94"/>
      <c r="E38" s="94"/>
      <c r="F38" s="240"/>
      <c r="G38" s="94"/>
      <c r="H38" s="94"/>
      <c r="I38" s="94"/>
      <c r="J38" s="94"/>
      <c r="K38" s="94"/>
      <c r="L38" s="94"/>
      <c r="M38" s="94"/>
      <c r="N38" s="241"/>
    </row>
    <row r="39" spans="2:14" ht="19.899999999999999" customHeight="1" x14ac:dyDescent="0.2">
      <c r="B39" s="233" t="s">
        <v>292</v>
      </c>
      <c r="C39" s="87"/>
      <c r="E39" s="87"/>
      <c r="F39" s="97"/>
      <c r="N39" s="87"/>
    </row>
    <row r="40" spans="2:14" ht="19.899999999999999" customHeight="1" x14ac:dyDescent="0.2">
      <c r="B40" s="233" t="s">
        <v>293</v>
      </c>
      <c r="D40" s="87"/>
      <c r="G40" s="87"/>
      <c r="I40" s="87"/>
    </row>
    <row r="41" spans="2:14" ht="19.899999999999999" customHeight="1" x14ac:dyDescent="0.2">
      <c r="B41" s="232"/>
      <c r="D41" s="87"/>
      <c r="I41" s="87"/>
    </row>
    <row r="42" spans="2:14" ht="19.899999999999999" customHeight="1" x14ac:dyDescent="0.2">
      <c r="B42" s="232"/>
    </row>
  </sheetData>
  <customSheetViews>
    <customSheetView guid="{8970DFA1-A026-4639-BD60-39EC20285CCC}" showRuler="0">
      <selection activeCell="C34" sqref="C34"/>
    </customSheetView>
    <customSheetView guid="{AADB8EA3-75F0-4468-B5D5-C7110D6EC38B}" fitToPage="1" showRuler="0">
      <selection activeCell="C34" sqref="C34"/>
      <pageMargins left="0" right="0" top="0" bottom="0" header="0" footer="0"/>
      <pageSetup scale="83" orientation="landscape" r:id="rId1"/>
      <headerFooter alignWithMargins="0"/>
    </customSheetView>
    <customSheetView guid="{1D9F4367-0C2F-46F1-9E55-939D20D76F5B}" fitToPage="1" showRuler="0">
      <selection activeCell="C34" sqref="C34"/>
      <pageMargins left="0" right="0" top="0" bottom="0" header="0" footer="0"/>
      <pageSetup scale="83" orientation="landscape" r:id="rId2"/>
      <headerFooter alignWithMargins="0"/>
    </customSheetView>
    <customSheetView guid="{921A7AC6-7D1A-435F-A825-B8B8C1A90F20}" fitToPage="1" showRuler="0">
      <selection activeCell="C34" sqref="C34"/>
      <pageMargins left="0" right="0" top="0" bottom="0" header="0" footer="0"/>
      <pageSetup scale="83" orientation="landscape" r:id="rId3"/>
      <headerFooter alignWithMargins="0"/>
    </customSheetView>
    <customSheetView guid="{ED9CD846-0F6B-4BF7-A940-412E425E8FCE}" fitToPage="1" showRuler="0">
      <selection activeCell="C34" sqref="C34"/>
      <pageMargins left="0" right="0" top="0" bottom="0" header="0" footer="0"/>
      <pageSetup scale="83" orientation="landscape" r:id="rId4"/>
      <headerFooter alignWithMargins="0"/>
    </customSheetView>
    <customSheetView guid="{497CB486-623F-41B0-B370-EF2A82E78B1D}" fitToPage="1" showRuler="0">
      <selection activeCell="C34" sqref="C34"/>
      <pageMargins left="0" right="0" top="0" bottom="0" header="0" footer="0"/>
      <pageSetup scale="83" orientation="landscape" r:id="rId5"/>
      <headerFooter alignWithMargins="0"/>
    </customSheetView>
    <customSheetView guid="{20CF2976-B2A7-4F04-88DC-0AB25CA8A6C6}" fitToPage="1" showRuler="0">
      <selection activeCell="C34" sqref="C34"/>
      <pageMargins left="0" right="0" top="0" bottom="0" header="0" footer="0"/>
      <pageSetup scale="83" orientation="landscape" r:id="rId6"/>
      <headerFooter alignWithMargins="0"/>
    </customSheetView>
    <customSheetView guid="{CB724201-FBEC-4626-9DD9-AEC98BB80DB0}" fitToPage="1" showRuler="0">
      <selection activeCell="C34" sqref="C34"/>
      <pageMargins left="0" right="0" top="0" bottom="0" header="0" footer="0"/>
      <pageSetup scale="83" orientation="landscape" r:id="rId7"/>
      <headerFooter alignWithMargins="0"/>
    </customSheetView>
  </customSheetViews>
  <phoneticPr fontId="0" type="noConversion"/>
  <printOptions horizontalCentered="1"/>
  <pageMargins left="0.45" right="0.45" top="1.25" bottom="0.75" header="0.3" footer="0.3"/>
  <pageSetup scale="61" fitToHeight="0" orientation="landscape" r:id="rId8"/>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D5439-B0BA-4B87-A408-0DFAA9166B37}">
  <sheetPr>
    <pageSetUpPr fitToPage="1"/>
  </sheetPr>
  <dimension ref="A2:R46"/>
  <sheetViews>
    <sheetView showGridLines="0" showOutlineSymbols="0" zoomScaleNormal="100" zoomScalePageLayoutView="110" workbookViewId="0">
      <selection activeCell="M22" sqref="M22"/>
    </sheetView>
  </sheetViews>
  <sheetFormatPr defaultColWidth="9" defaultRowHeight="19.899999999999999" customHeight="1" x14ac:dyDescent="0.2"/>
  <cols>
    <col min="1" max="1" width="9.42578125" style="179" customWidth="1"/>
    <col min="2" max="2" width="36" style="179" customWidth="1"/>
    <col min="3" max="3" width="13.7109375" style="179" customWidth="1"/>
    <col min="4" max="4" width="14.28515625" style="179" customWidth="1"/>
    <col min="5" max="5" width="18.28515625" style="179" customWidth="1"/>
    <col min="6" max="6" width="13.7109375" style="179" customWidth="1"/>
    <col min="7" max="7" width="15.42578125" style="179" customWidth="1"/>
    <col min="8" max="8" width="14.85546875" style="179" customWidth="1"/>
    <col min="9" max="9" width="14.140625" style="179" bestFit="1" customWidth="1"/>
    <col min="10" max="10" width="13.7109375" style="179" customWidth="1"/>
    <col min="11" max="11" width="14.140625" style="179" bestFit="1" customWidth="1"/>
    <col min="12" max="13" width="13.7109375" style="179" customWidth="1"/>
    <col min="14" max="14" width="13.5703125" style="179" bestFit="1" customWidth="1"/>
    <col min="15" max="15" width="7.42578125" style="179" customWidth="1"/>
    <col min="16" max="16" width="18.28515625" style="179" customWidth="1"/>
    <col min="17" max="17" width="15.140625" style="179" bestFit="1" customWidth="1"/>
    <col min="18" max="16384" width="9" style="179"/>
  </cols>
  <sheetData>
    <row r="2" spans="1:16" ht="19.899999999999999" customHeight="1" x14ac:dyDescent="0.2">
      <c r="B2" s="202" t="s">
        <v>65</v>
      </c>
    </row>
    <row r="3" spans="1:16" ht="19.899999999999999" customHeight="1" x14ac:dyDescent="0.2">
      <c r="B3" s="202" t="s">
        <v>274</v>
      </c>
      <c r="G3" s="181"/>
      <c r="J3" s="181"/>
    </row>
    <row r="4" spans="1:16" ht="12.2" customHeight="1" x14ac:dyDescent="0.2"/>
    <row r="5" spans="1:16" ht="12.2" customHeight="1" x14ac:dyDescent="0.2">
      <c r="A5" s="201"/>
      <c r="C5" s="192"/>
      <c r="D5" s="192"/>
      <c r="E5" s="192"/>
      <c r="F5" s="192"/>
      <c r="G5" s="192"/>
      <c r="H5" s="192"/>
      <c r="I5" s="192"/>
      <c r="J5" s="192"/>
      <c r="K5" s="192"/>
      <c r="L5" s="192"/>
      <c r="M5" s="192"/>
      <c r="N5" s="192"/>
    </row>
    <row r="6" spans="1:16" ht="45" customHeight="1" thickBot="1" x14ac:dyDescent="0.25">
      <c r="A6" s="192"/>
      <c r="B6" s="76"/>
      <c r="C6" s="33" t="s">
        <v>74</v>
      </c>
      <c r="D6" s="33" t="s">
        <v>88</v>
      </c>
      <c r="E6" s="33" t="s">
        <v>76</v>
      </c>
      <c r="F6" s="33" t="s">
        <v>109</v>
      </c>
      <c r="G6" s="33" t="s">
        <v>77</v>
      </c>
      <c r="H6" s="33" t="s">
        <v>254</v>
      </c>
      <c r="I6" s="33" t="s">
        <v>90</v>
      </c>
      <c r="J6" s="33" t="s">
        <v>79</v>
      </c>
      <c r="K6" s="33" t="s">
        <v>110</v>
      </c>
      <c r="L6" s="33" t="s">
        <v>91</v>
      </c>
      <c r="M6" s="33" t="s">
        <v>111</v>
      </c>
      <c r="N6" s="33" t="s">
        <v>47</v>
      </c>
      <c r="P6" s="180"/>
    </row>
    <row r="7" spans="1:16" ht="19.899999999999999" customHeight="1" x14ac:dyDescent="0.2">
      <c r="B7" s="81" t="s">
        <v>273</v>
      </c>
      <c r="C7" s="200"/>
      <c r="D7" s="200"/>
      <c r="E7" s="200"/>
      <c r="F7" s="200"/>
      <c r="G7" s="200"/>
      <c r="H7" s="200"/>
      <c r="I7" s="200"/>
      <c r="J7" s="200"/>
      <c r="K7" s="200"/>
      <c r="L7" s="200"/>
      <c r="M7" s="200"/>
      <c r="N7" s="199"/>
    </row>
    <row r="8" spans="1:16" ht="19.899999999999999" customHeight="1" thickBot="1" x14ac:dyDescent="0.25">
      <c r="A8" s="192"/>
      <c r="B8" s="56" t="s">
        <v>135</v>
      </c>
      <c r="C8" s="198">
        <f>[3]OTHER!$E$9</f>
        <v>7510</v>
      </c>
      <c r="D8" s="198">
        <f>[2]OTHER!$C$9</f>
        <v>2500</v>
      </c>
      <c r="E8" s="198">
        <f>[5]OTHER!$D$8</f>
        <v>0</v>
      </c>
      <c r="F8" s="198">
        <f>[5]OTHER!$E$8+[4]OTHER!$G$9</f>
        <v>4200</v>
      </c>
      <c r="G8" s="198">
        <f>[3]OTHER!$D$9</f>
        <v>38000</v>
      </c>
      <c r="H8" s="198">
        <f>[6]OTHER!$C$9</f>
        <v>3250</v>
      </c>
      <c r="I8" s="198">
        <f>[1]OTHER!$C$9</f>
        <v>5000</v>
      </c>
      <c r="J8" s="198">
        <f>[4]OTHER!$D$9+[4]OTHER!$E$9+[4]OTHER!$F$9+[4]OTHER!$H$9</f>
        <v>2000</v>
      </c>
      <c r="K8" s="198">
        <f>[7]OTHER!$D$9+[7]OTHER!$E$9+[7]OTHER!$F$9+[7]OTHER!$H$9</f>
        <v>8961</v>
      </c>
      <c r="L8" s="198">
        <f>[7]OTHER!$I$9+[7]OTHER!$J$9</f>
        <v>300</v>
      </c>
      <c r="M8" s="198">
        <f>[7]OTHER!$G$9</f>
        <v>22500</v>
      </c>
      <c r="N8" s="197">
        <f>SUM(C8:M8)</f>
        <v>94221</v>
      </c>
      <c r="O8" s="196"/>
      <c r="P8" s="181"/>
    </row>
    <row r="9" spans="1:16" ht="19.899999999999999" customHeight="1" thickBot="1" x14ac:dyDescent="0.25">
      <c r="A9" s="192"/>
      <c r="B9" s="56" t="s">
        <v>272</v>
      </c>
      <c r="C9" s="208">
        <f>[3]OTHER!$E$10</f>
        <v>29850</v>
      </c>
      <c r="D9" s="208">
        <f>[2]OTHER!$C$10</f>
        <v>5050</v>
      </c>
      <c r="E9" s="209">
        <f>[5]OTHER!$D$9</f>
        <v>0</v>
      </c>
      <c r="F9" s="208">
        <f>[5]OTHER!$E$9+[4]OTHER!$G$10</f>
        <v>200</v>
      </c>
      <c r="G9" s="208">
        <f>[3]OTHER!$D$10</f>
        <v>24000</v>
      </c>
      <c r="H9" s="208">
        <f>[6]OTHER!$C$10</f>
        <v>14000</v>
      </c>
      <c r="I9" s="208">
        <f>[1]OTHER!$C$10</f>
        <v>4000</v>
      </c>
      <c r="J9" s="208">
        <f>[4]OTHER!$D$10+[4]OTHER!$E$10+[4]OTHER!$F$10+[4]OTHER!$H$10</f>
        <v>2000</v>
      </c>
      <c r="K9" s="208">
        <f>[7]OTHER!$D$10+[7]OTHER!$E$10+[7]OTHER!$F$10+[7]OTHER!$H$10</f>
        <v>6000</v>
      </c>
      <c r="L9" s="208">
        <f>[7]OTHER!$I$10+[7]OTHER!$J$10</f>
        <v>219000</v>
      </c>
      <c r="M9" s="208">
        <f>[7]OTHER!$G$10</f>
        <v>2500</v>
      </c>
      <c r="N9" s="210">
        <f>SUM(C9:M9)</f>
        <v>306600</v>
      </c>
      <c r="O9" s="196"/>
      <c r="P9" s="181"/>
    </row>
    <row r="10" spans="1:16" ht="19.899999999999999" customHeight="1" thickBot="1" x14ac:dyDescent="0.25">
      <c r="A10" s="192"/>
      <c r="B10" s="56" t="s">
        <v>271</v>
      </c>
      <c r="C10" s="208">
        <f>[3]OTHER!$E$11</f>
        <v>5000</v>
      </c>
      <c r="D10" s="209">
        <f>[2]OTHER!$C$11</f>
        <v>0</v>
      </c>
      <c r="E10" s="209">
        <f>[5]OTHER!$D$10</f>
        <v>0</v>
      </c>
      <c r="F10" s="208">
        <f>[5]OTHER!$E$10+[4]OTHER!$G$11</f>
        <v>100</v>
      </c>
      <c r="G10" s="208">
        <f>[3]OTHER!$D$11</f>
        <v>80000</v>
      </c>
      <c r="H10" s="208">
        <f>[6]OTHER!$C$11</f>
        <v>12500</v>
      </c>
      <c r="I10" s="208">
        <f>[1]OTHER!$C$11</f>
        <v>3000</v>
      </c>
      <c r="J10" s="208">
        <f>[4]OTHER!$D$11+[4]OTHER!$E$11+[4]OTHER!$F$11+[4]OTHER!$H$11</f>
        <v>500</v>
      </c>
      <c r="K10" s="208">
        <f>[7]OTHER!$D$11+[7]OTHER!$E$11+[7]OTHER!$F$11+[7]OTHER!$H$11</f>
        <v>8000</v>
      </c>
      <c r="L10" s="209">
        <f>[7]OTHER!$I$11+[7]OTHER!$J$11</f>
        <v>0</v>
      </c>
      <c r="M10" s="209">
        <f>[7]OTHER!$G$11</f>
        <v>0</v>
      </c>
      <c r="N10" s="210">
        <f t="shared" ref="N10:N28" si="0">SUM(C10:M10)</f>
        <v>109100</v>
      </c>
      <c r="O10" s="196"/>
      <c r="P10" s="181"/>
    </row>
    <row r="11" spans="1:16" ht="19.899999999999999" customHeight="1" thickBot="1" x14ac:dyDescent="0.25">
      <c r="A11" s="192"/>
      <c r="B11" s="56" t="s">
        <v>270</v>
      </c>
      <c r="C11" s="209">
        <f>[3]OTHER!$E$12</f>
        <v>0</v>
      </c>
      <c r="D11" s="208">
        <f>[2]OTHER!$C$12</f>
        <v>2100</v>
      </c>
      <c r="E11" s="209">
        <f>[5]OTHER!$D$11</f>
        <v>0</v>
      </c>
      <c r="F11" s="208">
        <f>[5]OTHER!$E$11+[4]OTHER!$G$12</f>
        <v>200</v>
      </c>
      <c r="G11" s="208">
        <f>[3]OTHER!$D$12</f>
        <v>1500</v>
      </c>
      <c r="H11" s="208">
        <f>[6]OTHER!$C$12</f>
        <v>2200</v>
      </c>
      <c r="I11" s="208">
        <f>[1]OTHER!$C$12</f>
        <v>750</v>
      </c>
      <c r="J11" s="208">
        <f>[4]OTHER!$D$12+[4]OTHER!$E$12+[4]OTHER!$F$12+[4]OTHER!$H$12</f>
        <v>1000</v>
      </c>
      <c r="K11" s="208">
        <f>[7]OTHER!$D$12+[7]OTHER!$E$12+[7]OTHER!$F$12+[7]OTHER!$H$12</f>
        <v>1150</v>
      </c>
      <c r="L11" s="209">
        <f>[7]OTHER!$I$12+[7]OTHER!$J$12</f>
        <v>0</v>
      </c>
      <c r="M11" s="208">
        <f>[7]OTHER!$G$12</f>
        <v>1500</v>
      </c>
      <c r="N11" s="210">
        <f t="shared" si="0"/>
        <v>10400</v>
      </c>
      <c r="O11" s="196"/>
      <c r="P11" s="181"/>
    </row>
    <row r="12" spans="1:16" ht="19.899999999999999" customHeight="1" thickBot="1" x14ac:dyDescent="0.25">
      <c r="A12" s="192"/>
      <c r="B12" s="56" t="s">
        <v>269</v>
      </c>
      <c r="C12" s="208">
        <f>[3]OTHER!$E$13</f>
        <v>11050</v>
      </c>
      <c r="D12" s="208">
        <f>[2]OTHER!$C$13</f>
        <v>581818</v>
      </c>
      <c r="E12" s="208">
        <f>[5]OTHER!$D$12</f>
        <v>9500</v>
      </c>
      <c r="F12" s="208">
        <f>[5]OTHER!$E$12+[4]OTHER!$G$13</f>
        <v>21800</v>
      </c>
      <c r="G12" s="208">
        <f>[3]OTHER!$D$13</f>
        <v>6000</v>
      </c>
      <c r="H12" s="208">
        <f>[6]OTHER!$C$13</f>
        <v>1350</v>
      </c>
      <c r="I12" s="208">
        <f>[1]OTHER!$C$13</f>
        <v>1000</v>
      </c>
      <c r="J12" s="208">
        <f>[4]OTHER!$D$13+[4]OTHER!$E$13+[4]OTHER!$F$13+[4]OTHER!$H$13</f>
        <v>600</v>
      </c>
      <c r="K12" s="208">
        <f>[7]OTHER!$D$13+[7]OTHER!$E$13+[7]OTHER!$F$13+[7]OTHER!$H$13</f>
        <v>300</v>
      </c>
      <c r="L12" s="209">
        <f>[7]OTHER!$H$13+[7]OTHER!$I$13</f>
        <v>0</v>
      </c>
      <c r="M12" s="208">
        <f>[7]OTHER!$G$13</f>
        <v>15000</v>
      </c>
      <c r="N12" s="210">
        <f t="shared" si="0"/>
        <v>648418</v>
      </c>
      <c r="O12" s="196"/>
      <c r="P12" s="181"/>
    </row>
    <row r="13" spans="1:16" ht="19.899999999999999" customHeight="1" thickBot="1" x14ac:dyDescent="0.25">
      <c r="A13" s="192"/>
      <c r="B13" s="56" t="s">
        <v>268</v>
      </c>
      <c r="C13" s="208">
        <f>[3]OTHER!$E$14</f>
        <v>14280</v>
      </c>
      <c r="D13" s="208">
        <f>[2]OTHER!$C$14</f>
        <v>123520</v>
      </c>
      <c r="E13" s="208">
        <f>[5]OTHER!$D$13</f>
        <v>1066035.1000000001</v>
      </c>
      <c r="F13" s="208">
        <f>[5]OTHER!$E$13+[4]OTHER!$G$14</f>
        <v>1009002.86</v>
      </c>
      <c r="G13" s="208">
        <f>[3]OTHER!$D$14</f>
        <v>156700</v>
      </c>
      <c r="H13" s="208">
        <f>[6]OTHER!$C$14</f>
        <v>73000</v>
      </c>
      <c r="I13" s="208">
        <f>[1]OTHER!$C$14</f>
        <v>380000</v>
      </c>
      <c r="J13" s="208">
        <f>[4]OTHER!$D$14+[4]OTHER!$E$14+[4]OTHER!$F$14+[4]OTHER!$H$14</f>
        <v>275075</v>
      </c>
      <c r="K13" s="208">
        <f>[7]OTHER!$D$14+[7]OTHER!$E$14+[7]OTHER!$F$14+[7]OTHER!$H$14</f>
        <v>152510</v>
      </c>
      <c r="L13" s="209">
        <f>[7]OTHER!$I$14+[7]OTHER!$J$14</f>
        <v>0</v>
      </c>
      <c r="M13" s="208">
        <f>[7]OTHER!$G$14</f>
        <v>386480</v>
      </c>
      <c r="N13" s="210">
        <f t="shared" si="0"/>
        <v>3636602.96</v>
      </c>
      <c r="O13" s="196"/>
      <c r="P13" s="181"/>
    </row>
    <row r="14" spans="1:16" ht="19.899999999999999" customHeight="1" thickBot="1" x14ac:dyDescent="0.25">
      <c r="A14" s="192"/>
      <c r="B14" s="56" t="s">
        <v>267</v>
      </c>
      <c r="C14" s="208">
        <f>[3]OTHER!$E$15</f>
        <v>25490</v>
      </c>
      <c r="D14" s="208">
        <f>[2]OTHER!$C$15</f>
        <v>91128</v>
      </c>
      <c r="E14" s="209">
        <f>[5]OTHER!$D$14</f>
        <v>0</v>
      </c>
      <c r="F14" s="208">
        <f>[5]OTHER!$E$14+[4]OTHER!$G$15</f>
        <v>29200</v>
      </c>
      <c r="G14" s="208">
        <f>[3]OTHER!$D$15</f>
        <v>196000</v>
      </c>
      <c r="H14" s="208">
        <f>[6]OTHER!$C$15</f>
        <v>40500</v>
      </c>
      <c r="I14" s="208">
        <f>[1]OTHER!$C$16</f>
        <v>43280</v>
      </c>
      <c r="J14" s="208">
        <f>[4]OTHER!$D$15+[4]OTHER!$E$15+[4]OTHER!$F$15+[4]OTHER!$H$15</f>
        <v>40605</v>
      </c>
      <c r="K14" s="208">
        <f>[7]OTHER!$D$15+[7]OTHER!$E$15+[7]OTHER!$F$15+[7]OTHER!$H$15</f>
        <v>128500</v>
      </c>
      <c r="L14" s="208">
        <f>[7]OTHER!$I$15+[7]OTHER!$J$15-3</f>
        <v>24998</v>
      </c>
      <c r="M14" s="208">
        <f>[7]OTHER!$G$15</f>
        <v>52900</v>
      </c>
      <c r="N14" s="210">
        <f t="shared" si="0"/>
        <v>672601</v>
      </c>
      <c r="O14" s="196"/>
      <c r="P14" s="181"/>
    </row>
    <row r="15" spans="1:16" ht="19.899999999999999" customHeight="1" thickBot="1" x14ac:dyDescent="0.25">
      <c r="A15" s="192"/>
      <c r="B15" s="56" t="s">
        <v>137</v>
      </c>
      <c r="C15" s="209">
        <f>[3]OTHER!$E$16</f>
        <v>0</v>
      </c>
      <c r="D15" s="208">
        <f>[2]OTHER!$C$16</f>
        <v>1000</v>
      </c>
      <c r="E15" s="209">
        <f>[5]OTHER!$D$15</f>
        <v>0</v>
      </c>
      <c r="F15" s="208">
        <f>[5]OTHER!$D$15+[4]OTHER!$G$16</f>
        <v>5000</v>
      </c>
      <c r="G15" s="209">
        <f>[3]OTHER!$D$16</f>
        <v>0</v>
      </c>
      <c r="H15" s="208">
        <f>[6]OTHER!$C$16</f>
        <v>265000</v>
      </c>
      <c r="I15" s="209">
        <f>[1]OTHER!$C$15</f>
        <v>0</v>
      </c>
      <c r="J15" s="208">
        <f>[4]OTHER!$D$16+[4]OTHER!$E$16+[4]OTHER!$F$16+[4]OTHER!$H$16</f>
        <v>2000</v>
      </c>
      <c r="K15" s="208">
        <f>[7]OTHER!$D$16+[7]OTHER!$E$16+[7]OTHER!$F$16+[7]OTHER!$H$16</f>
        <v>5000</v>
      </c>
      <c r="L15" s="208">
        <f>[7]OTHER!$I$16+[7]OTHER!$J$16</f>
        <v>10000</v>
      </c>
      <c r="M15" s="209">
        <f>[7]OTHER!$G$16</f>
        <v>0</v>
      </c>
      <c r="N15" s="210">
        <f t="shared" si="0"/>
        <v>288000</v>
      </c>
      <c r="O15" s="196"/>
      <c r="P15" s="181"/>
    </row>
    <row r="16" spans="1:16" ht="19.899999999999999" customHeight="1" thickBot="1" x14ac:dyDescent="0.25">
      <c r="A16" s="192"/>
      <c r="B16" s="56" t="s">
        <v>138</v>
      </c>
      <c r="C16" s="208">
        <f>[3]OTHER!$E$17</f>
        <v>23000</v>
      </c>
      <c r="D16" s="209">
        <f>[2]OTHER!$C$17</f>
        <v>0</v>
      </c>
      <c r="E16" s="209">
        <f>[5]OTHER!$D$16</f>
        <v>0</v>
      </c>
      <c r="F16" s="209">
        <f>[5]OTHER!$D$16+[4]OTHER!$G$17</f>
        <v>0</v>
      </c>
      <c r="G16" s="208">
        <f>[3]OTHER!$D$17</f>
        <v>20000</v>
      </c>
      <c r="H16" s="208">
        <f>[6]OTHER!$C$17</f>
        <v>4000</v>
      </c>
      <c r="I16" s="208">
        <f>[1]OTHER!$C$17</f>
        <v>20000</v>
      </c>
      <c r="J16" s="208">
        <f>[4]OTHER!$D$17+[4]OTHER!$E$17+[4]OTHER!$F$17+[4]OTHER!$H$17</f>
        <v>1500</v>
      </c>
      <c r="K16" s="208">
        <f>[7]OTHER!$D$17+[7]OTHER!$E$17+[7]OTHER!$F$17+[7]OTHER!$H$17+[7]OTHER!$D$22+[7]OTHER!$E$22+[7]OTHER!$F$22+[7]OTHER!$H$22</f>
        <v>30800</v>
      </c>
      <c r="L16" s="209">
        <f>[7]OTHER!$I$17+[7]OTHER!$J$17</f>
        <v>0</v>
      </c>
      <c r="M16" s="208">
        <f>[7]OTHER!$G$17</f>
        <v>37800</v>
      </c>
      <c r="N16" s="210">
        <f t="shared" si="0"/>
        <v>137100</v>
      </c>
      <c r="O16" s="196"/>
      <c r="P16" s="181"/>
    </row>
    <row r="17" spans="1:18" ht="19.899999999999999" customHeight="1" thickBot="1" x14ac:dyDescent="0.25">
      <c r="A17" s="192"/>
      <c r="B17" s="56" t="s">
        <v>266</v>
      </c>
      <c r="C17" s="208">
        <f>[3]OTHER!$E$18</f>
        <v>870</v>
      </c>
      <c r="D17" s="208">
        <f>[2]OTHER!$C$18</f>
        <v>10650</v>
      </c>
      <c r="E17" s="209">
        <f>[5]OTHER!$D$17</f>
        <v>0</v>
      </c>
      <c r="F17" s="209">
        <f>[5]OTHER!$D$17+[4]OTHER!$G$18</f>
        <v>0</v>
      </c>
      <c r="G17" s="208">
        <f>[3]OTHER!$D$18</f>
        <v>800</v>
      </c>
      <c r="H17" s="211">
        <v>0</v>
      </c>
      <c r="I17" s="208">
        <f>[1]OTHER!$C$18</f>
        <v>4000</v>
      </c>
      <c r="J17" s="209">
        <f>[4]OTHER!$D$18+[4]OTHER!$E$18+[4]OTHER!$F$18+[4]OTHER!$H$18</f>
        <v>0</v>
      </c>
      <c r="K17" s="208">
        <f>[7]OTHER!$D$18+[7]OTHER!$E$18+[7]OTHER!$F$18+[7]OTHER!$H$18</f>
        <v>2600</v>
      </c>
      <c r="L17" s="209">
        <f>[7]OTHER!$I$18+[7]OTHER!$J$18</f>
        <v>0</v>
      </c>
      <c r="M17" s="209">
        <f>[7]OTHER!$G$18</f>
        <v>0</v>
      </c>
      <c r="N17" s="210">
        <f t="shared" si="0"/>
        <v>18920</v>
      </c>
      <c r="O17" s="196"/>
      <c r="P17" s="181"/>
    </row>
    <row r="18" spans="1:18" ht="19.899999999999999" customHeight="1" thickBot="1" x14ac:dyDescent="0.25">
      <c r="A18" s="192"/>
      <c r="B18" s="56" t="s">
        <v>265</v>
      </c>
      <c r="C18" s="208">
        <f>[3]OTHER!$E$19</f>
        <v>29160</v>
      </c>
      <c r="D18" s="208">
        <f>[2]OTHER!$C$19</f>
        <v>2456519</v>
      </c>
      <c r="E18" s="208">
        <f>[5]OTHER!$D$18</f>
        <v>250000</v>
      </c>
      <c r="F18" s="208">
        <f>[5]OTHER!$E$18+[4]OTHER!$G$19</f>
        <v>31850</v>
      </c>
      <c r="G18" s="208">
        <f>[3]OTHER!$D$19</f>
        <v>227000</v>
      </c>
      <c r="H18" s="208">
        <f>[6]OTHER!$C$18</f>
        <v>14500</v>
      </c>
      <c r="I18" s="208">
        <f>[1]OTHER!$C$19</f>
        <v>5000</v>
      </c>
      <c r="J18" s="209">
        <f>[4]OTHER!$D$19+[4]OTHER!$E$19+[4]OTHER!$F$19+[4]OTHER!$H$19</f>
        <v>0</v>
      </c>
      <c r="K18" s="208">
        <f>[7]OTHER!$D$19+[7]OTHER!$E$19+[7]OTHER!$F$19+[7]OTHER!$H$19</f>
        <v>13050</v>
      </c>
      <c r="L18" s="209">
        <f>[7]OTHER!$I$19+[7]OTHER!$J$19</f>
        <v>0</v>
      </c>
      <c r="M18" s="208">
        <f>[7]OTHER!$G$19</f>
        <v>6220</v>
      </c>
      <c r="N18" s="210">
        <f t="shared" si="0"/>
        <v>3033299</v>
      </c>
      <c r="O18" s="196"/>
      <c r="P18" s="181"/>
    </row>
    <row r="19" spans="1:18" ht="19.899999999999999" customHeight="1" thickBot="1" x14ac:dyDescent="0.25">
      <c r="A19" s="192"/>
      <c r="B19" s="56" t="s">
        <v>146</v>
      </c>
      <c r="C19" s="208">
        <f>[3]OTHER!$E$20</f>
        <v>130</v>
      </c>
      <c r="D19" s="208">
        <f>[2]OTHER!$C$20</f>
        <v>3950</v>
      </c>
      <c r="E19" s="209">
        <f>[5]OTHER!$D$19</f>
        <v>0</v>
      </c>
      <c r="F19" s="209">
        <f>[5]OTHER!$D$19+[4]OTHER!$G$20</f>
        <v>0</v>
      </c>
      <c r="G19" s="208">
        <f>[3]OTHER!$D$20</f>
        <v>12800</v>
      </c>
      <c r="H19" s="208">
        <f>[6]OTHER!$C$19</f>
        <v>23500</v>
      </c>
      <c r="I19" s="208">
        <f>[1]OTHER!$C$20</f>
        <v>500</v>
      </c>
      <c r="J19" s="208">
        <f>[4]OTHER!$D$20+[4]OTHER!$E$20+[4]OTHER!$F$20+[4]OTHER!$H$20</f>
        <v>200</v>
      </c>
      <c r="K19" s="208">
        <f>[7]OTHER!$D$20+[7]OTHER!$E$20+[7]OTHER!$F$20+[7]OTHER!$H$20</f>
        <v>4150</v>
      </c>
      <c r="L19" s="208">
        <f>[7]OTHER!$I$20+[7]OTHER!$J$20</f>
        <v>1208</v>
      </c>
      <c r="M19" s="208">
        <f>[7]OTHER!$G$20</f>
        <v>1200</v>
      </c>
      <c r="N19" s="210">
        <f t="shared" si="0"/>
        <v>47638</v>
      </c>
      <c r="O19" s="196"/>
      <c r="P19" s="181"/>
    </row>
    <row r="20" spans="1:18" ht="19.899999999999999" customHeight="1" thickBot="1" x14ac:dyDescent="0.25">
      <c r="A20" s="192"/>
      <c r="B20" s="56" t="s">
        <v>264</v>
      </c>
      <c r="C20" s="208">
        <f>[3]OTHER!$E$21</f>
        <v>4645</v>
      </c>
      <c r="D20" s="208">
        <f>[2]OTHER!$C$21</f>
        <v>28992</v>
      </c>
      <c r="E20" s="209">
        <f>[5]OTHER!$D$21</f>
        <v>0</v>
      </c>
      <c r="F20" s="208">
        <f>[5]OTHER!$D$21+[4]OTHER!$G$21</f>
        <v>500</v>
      </c>
      <c r="G20" s="208">
        <f>[3]OTHER!$D$21</f>
        <v>75000</v>
      </c>
      <c r="H20" s="208">
        <f>[6]OTHER!$C$20</f>
        <v>28000</v>
      </c>
      <c r="I20" s="208">
        <f>[1]OTHER!$C$21</f>
        <v>15000</v>
      </c>
      <c r="J20" s="208">
        <f>[4]OTHER!$D$21+[4]OTHER!$E$21+[4]OTHER!$F$21+[4]OTHER!$H$21</f>
        <v>17000</v>
      </c>
      <c r="K20" s="208">
        <f>[7]OTHER!$D$21+[7]OTHER!$E$21+[7]OTHER!$F$21+[7]OTHER!$H$21-1</f>
        <v>138614</v>
      </c>
      <c r="L20" s="209">
        <f>[7]OTHER!$I$21+[7]OTHER!$J$21</f>
        <v>0</v>
      </c>
      <c r="M20" s="208">
        <f>[7]OTHER!$G$21</f>
        <v>6980</v>
      </c>
      <c r="N20" s="210">
        <f t="shared" si="0"/>
        <v>314731</v>
      </c>
      <c r="O20" s="196"/>
      <c r="P20" s="181"/>
    </row>
    <row r="21" spans="1:18" ht="19.899999999999999" customHeight="1" thickBot="1" x14ac:dyDescent="0.25">
      <c r="A21" s="192"/>
      <c r="B21" s="56" t="s">
        <v>180</v>
      </c>
      <c r="C21" s="208">
        <f>[3]OTHER!$E$22</f>
        <v>2900</v>
      </c>
      <c r="D21" s="208">
        <f>[2]OTHER!$C$22</f>
        <v>7450</v>
      </c>
      <c r="E21" s="209">
        <f>[5]OTHER!$D$22</f>
        <v>0</v>
      </c>
      <c r="F21" s="209">
        <f>[5]OTHER!$D$22+[4]OTHER!$G$22</f>
        <v>0</v>
      </c>
      <c r="G21" s="208">
        <f>[3]OTHER!$D$22</f>
        <v>12000</v>
      </c>
      <c r="H21" s="208">
        <f>[6]OTHER!$C$21</f>
        <v>21400</v>
      </c>
      <c r="I21" s="208">
        <f>[1]OTHER!$C$22</f>
        <v>15000</v>
      </c>
      <c r="J21" s="208">
        <f>[4]OTHER!$D$22+[4]OTHER!$E$22+[4]OTHER!$F$22+[4]OTHER!$H$22</f>
        <v>24000</v>
      </c>
      <c r="K21" s="209">
        <f>[7]OTHER!$D$23+[7]OTHER!$E$23+[7]OTHER!$F$23+[7]OTHER!$H$23</f>
        <v>0</v>
      </c>
      <c r="L21" s="208">
        <f>[7]OTHER!$I$23+[7]OTHER!$J$23</f>
        <v>150</v>
      </c>
      <c r="M21" s="208">
        <f>[7]OTHER!$G$23</f>
        <v>500</v>
      </c>
      <c r="N21" s="210">
        <f t="shared" si="0"/>
        <v>83400</v>
      </c>
      <c r="O21" s="196"/>
      <c r="P21" s="181"/>
    </row>
    <row r="22" spans="1:18" ht="19.899999999999999" customHeight="1" thickBot="1" x14ac:dyDescent="0.25">
      <c r="A22" s="192"/>
      <c r="B22" s="56" t="s">
        <v>148</v>
      </c>
      <c r="C22" s="208">
        <f>[3]OTHER!$E$23</f>
        <v>170</v>
      </c>
      <c r="D22" s="208">
        <f>[2]OTHER!$C$23</f>
        <v>13340</v>
      </c>
      <c r="E22" s="209">
        <f>[5]OTHER!$D$23</f>
        <v>0</v>
      </c>
      <c r="F22" s="209">
        <f>[5]OTHER!$D$23+[4]OTHER!$G$23</f>
        <v>0</v>
      </c>
      <c r="G22" s="209">
        <f>[3]OTHER!$D$23</f>
        <v>0</v>
      </c>
      <c r="H22" s="208">
        <f>[6]OTHER!$C$23</f>
        <v>12000</v>
      </c>
      <c r="I22" s="208">
        <f>[1]OTHER!$C$23</f>
        <v>1500</v>
      </c>
      <c r="J22" s="209">
        <f>[4]OTHER!$D$23+[4]OTHER!$E$23+[4]OTHER!$F$23+[4]OTHER!$H$23</f>
        <v>0</v>
      </c>
      <c r="K22" s="208">
        <f>[7]OTHER!$D$24+[7]OTHER!$E$24+[7]OTHER!$F$24+[7]OTHER!$H$24</f>
        <v>27550</v>
      </c>
      <c r="L22" s="208">
        <f>[7]OTHER!$I$24+[7]OTHER!$J$24</f>
        <v>20000</v>
      </c>
      <c r="M22" s="208">
        <f>[7]OTHER!$G$24</f>
        <v>11500</v>
      </c>
      <c r="N22" s="210">
        <f t="shared" si="0"/>
        <v>86060</v>
      </c>
      <c r="O22" s="196"/>
      <c r="P22" s="181"/>
    </row>
    <row r="23" spans="1:18" ht="19.899999999999999" customHeight="1" thickBot="1" x14ac:dyDescent="0.25">
      <c r="A23" s="192"/>
      <c r="B23" s="56" t="s">
        <v>284</v>
      </c>
      <c r="C23" s="208"/>
      <c r="D23" s="208"/>
      <c r="E23" s="209"/>
      <c r="F23" s="209">
        <v>100000</v>
      </c>
      <c r="G23" s="209"/>
      <c r="H23" s="208"/>
      <c r="I23" s="208"/>
      <c r="J23" s="209"/>
      <c r="K23" s="208">
        <f>[7]OTHER!$M$26</f>
        <v>0</v>
      </c>
      <c r="L23" s="208"/>
      <c r="M23" s="208"/>
      <c r="N23" s="210">
        <f t="shared" si="0"/>
        <v>100000</v>
      </c>
      <c r="O23" s="196"/>
      <c r="P23" s="181"/>
    </row>
    <row r="24" spans="1:18" ht="19.899999999999999" customHeight="1" thickBot="1" x14ac:dyDescent="0.25">
      <c r="A24" s="192"/>
      <c r="B24" s="56" t="s">
        <v>248</v>
      </c>
      <c r="C24" s="209">
        <f>[3]OTHER!$E$24</f>
        <v>0</v>
      </c>
      <c r="D24" s="208">
        <f>[2]OTHER!$C$24</f>
        <v>2000</v>
      </c>
      <c r="E24" s="209">
        <f>[5]OTHER!$D$24</f>
        <v>0</v>
      </c>
      <c r="F24" s="208">
        <f>[5]OTHER!$E$24+[4]OTHER!$G$24</f>
        <v>900</v>
      </c>
      <c r="G24" s="208">
        <f>[3]OTHER!$D$24</f>
        <v>10000</v>
      </c>
      <c r="H24" s="208">
        <f>[6]OTHER!$C$24</f>
        <v>5000</v>
      </c>
      <c r="I24" s="208">
        <f>[1]OTHER!$C$24</f>
        <v>30000</v>
      </c>
      <c r="J24" s="209">
        <f>[4]OTHER!$D$24+[4]OTHER!$E$24+[4]OTHER!$F$24+[4]OTHER!$H$24</f>
        <v>0</v>
      </c>
      <c r="K24" s="209">
        <f>[7]OTHER!$D$25+[7]OTHER!$E$25+[7]OTHER!$F$25+[7]OTHER!$H$25</f>
        <v>0</v>
      </c>
      <c r="L24" s="208">
        <f>[7]OTHER!$I$25+[7]OTHER!$J$25</f>
        <v>70750</v>
      </c>
      <c r="M24" s="211">
        <f>[7]OTHER!$G$25</f>
        <v>0</v>
      </c>
      <c r="N24" s="210">
        <f t="shared" si="0"/>
        <v>118650</v>
      </c>
      <c r="O24" s="196"/>
      <c r="P24" s="181"/>
    </row>
    <row r="25" spans="1:18" ht="19.899999999999999" customHeight="1" thickBot="1" x14ac:dyDescent="0.25">
      <c r="A25" s="192"/>
      <c r="B25" s="56" t="s">
        <v>263</v>
      </c>
      <c r="C25" s="212">
        <f>[3]OTHER!$E$26</f>
        <v>0</v>
      </c>
      <c r="D25" s="212">
        <f>[2]OTHER!$C$27</f>
        <v>0</v>
      </c>
      <c r="E25" s="212">
        <f>[5]OTHER!$D$26</f>
        <v>0</v>
      </c>
      <c r="F25" s="212">
        <f>[5]OTHER!$D$26+[4]OTHER!$G$27</f>
        <v>0</v>
      </c>
      <c r="G25" s="212">
        <f>[3]OTHER!$D$26</f>
        <v>0</v>
      </c>
      <c r="H25" s="212">
        <v>0</v>
      </c>
      <c r="I25" s="213">
        <f>[1]OTHER!$C$25</f>
        <v>1250000</v>
      </c>
      <c r="J25" s="212">
        <f>[4]OTHER!$D$27+[4]OTHER!$E$27+[4]OTHER!$F$27+[4]OTHER!$H$27</f>
        <v>0</v>
      </c>
      <c r="K25" s="209">
        <v>0</v>
      </c>
      <c r="L25" s="212">
        <v>0</v>
      </c>
      <c r="M25" s="212"/>
      <c r="N25" s="210">
        <f t="shared" si="0"/>
        <v>1250000</v>
      </c>
      <c r="O25" s="196"/>
      <c r="P25" s="181"/>
      <c r="Q25" s="195"/>
    </row>
    <row r="26" spans="1:18" ht="19.899999999999999" customHeight="1" thickBot="1" x14ac:dyDescent="0.25">
      <c r="A26" s="192"/>
      <c r="B26" s="56" t="s">
        <v>262</v>
      </c>
      <c r="C26" s="212">
        <v>0</v>
      </c>
      <c r="D26" s="212">
        <v>0</v>
      </c>
      <c r="E26" s="212">
        <v>0</v>
      </c>
      <c r="F26" s="212">
        <v>0</v>
      </c>
      <c r="G26" s="212">
        <v>0</v>
      </c>
      <c r="H26" s="212">
        <v>0</v>
      </c>
      <c r="I26" s="212">
        <v>0</v>
      </c>
      <c r="J26" s="212">
        <v>0</v>
      </c>
      <c r="K26" s="212">
        <f>[7]OTHER!$D$27+[7]OTHER!$E$27+[7]OTHER!$F$27+[7]OTHER!$H$27</f>
        <v>0</v>
      </c>
      <c r="L26" s="212">
        <v>0</v>
      </c>
      <c r="M26" s="213">
        <f>[7]OTHER!$G$27</f>
        <v>1200</v>
      </c>
      <c r="N26" s="210">
        <f t="shared" si="0"/>
        <v>1200</v>
      </c>
      <c r="O26" s="184"/>
      <c r="P26" s="184"/>
      <c r="Q26" s="181"/>
      <c r="R26" s="181"/>
    </row>
    <row r="27" spans="1:18" ht="19.899999999999999" customHeight="1" thickBot="1" x14ac:dyDescent="0.25">
      <c r="A27" s="192"/>
      <c r="B27" s="56" t="s">
        <v>261</v>
      </c>
      <c r="C27" s="212">
        <v>0</v>
      </c>
      <c r="D27" s="212">
        <f>[2]OTHER!$C$25</f>
        <v>0</v>
      </c>
      <c r="E27" s="212">
        <v>0</v>
      </c>
      <c r="F27" s="212">
        <v>0</v>
      </c>
      <c r="G27" s="212">
        <v>0</v>
      </c>
      <c r="H27" s="212">
        <v>0</v>
      </c>
      <c r="I27" s="212">
        <v>0</v>
      </c>
      <c r="J27" s="212">
        <f>[4]OTHER!$D$25+[4]OTHER!$E$25+[4]OTHER!$F$25+[4]OTHER!$H$25</f>
        <v>0</v>
      </c>
      <c r="K27" s="212">
        <f>[7]OTHER!$D$28+[7]OTHER!$E$28+[7]OTHER!$F$28+[7]OTHER!$H$28</f>
        <v>0</v>
      </c>
      <c r="L27" s="212">
        <v>0</v>
      </c>
      <c r="M27" s="213">
        <f>[7]OTHER!$G$28</f>
        <v>25000</v>
      </c>
      <c r="N27" s="210">
        <f t="shared" si="0"/>
        <v>25000</v>
      </c>
      <c r="O27" s="184"/>
      <c r="P27" s="184"/>
      <c r="Q27" s="181"/>
      <c r="R27" s="181"/>
    </row>
    <row r="28" spans="1:18" ht="19.899999999999999" customHeight="1" thickBot="1" x14ac:dyDescent="0.25">
      <c r="A28" s="192"/>
      <c r="B28" s="56" t="s">
        <v>149</v>
      </c>
      <c r="C28" s="212">
        <v>0</v>
      </c>
      <c r="D28" s="212">
        <v>0</v>
      </c>
      <c r="E28" s="212">
        <v>0</v>
      </c>
      <c r="F28" s="212">
        <v>0</v>
      </c>
      <c r="G28" s="212">
        <v>0</v>
      </c>
      <c r="H28" s="212">
        <v>0</v>
      </c>
      <c r="I28" s="212">
        <v>0</v>
      </c>
      <c r="J28" s="212">
        <v>0</v>
      </c>
      <c r="K28" s="213">
        <f>[7]OTHER!$D$29+[7]OTHER!$E$29+[7]OTHER!$F$29+[7]OTHER!$H$29</f>
        <v>620000</v>
      </c>
      <c r="L28" s="212">
        <v>0</v>
      </c>
      <c r="M28" s="212">
        <f>[7]OTHER!$G$29</f>
        <v>0</v>
      </c>
      <c r="N28" s="210">
        <f t="shared" si="0"/>
        <v>620000</v>
      </c>
      <c r="O28" s="184"/>
      <c r="P28" s="184"/>
      <c r="Q28" s="181"/>
      <c r="R28" s="181"/>
    </row>
    <row r="29" spans="1:18" ht="19.899999999999999" customHeight="1" thickBot="1" x14ac:dyDescent="0.25">
      <c r="A29" s="192"/>
      <c r="B29" s="56" t="s">
        <v>275</v>
      </c>
      <c r="C29" s="214">
        <v>0</v>
      </c>
      <c r="D29" s="214">
        <v>0</v>
      </c>
      <c r="E29" s="214">
        <v>0</v>
      </c>
      <c r="F29" s="214">
        <v>0</v>
      </c>
      <c r="G29" s="214">
        <v>0</v>
      </c>
      <c r="H29" s="214">
        <v>0</v>
      </c>
      <c r="I29" s="214">
        <v>0</v>
      </c>
      <c r="J29" s="214">
        <v>0</v>
      </c>
      <c r="K29" s="215">
        <v>0</v>
      </c>
      <c r="L29" s="214">
        <v>0</v>
      </c>
      <c r="M29" s="213">
        <f>[7]OTHER!$G$26</f>
        <v>60000</v>
      </c>
      <c r="N29" s="210">
        <f>SUM(C29:M29)</f>
        <v>60000</v>
      </c>
      <c r="O29" s="184"/>
      <c r="Q29" s="181"/>
      <c r="R29" s="181"/>
    </row>
    <row r="30" spans="1:18" ht="19.899999999999999" customHeight="1" thickBot="1" x14ac:dyDescent="0.25">
      <c r="A30" s="192"/>
      <c r="B30" s="56" t="s">
        <v>260</v>
      </c>
      <c r="C30" s="194">
        <f t="shared" ref="C30:K30" si="1">SUM(C8:C29)</f>
        <v>154055</v>
      </c>
      <c r="D30" s="194">
        <f t="shared" si="1"/>
        <v>3330017</v>
      </c>
      <c r="E30" s="194">
        <f t="shared" si="1"/>
        <v>1325535.1000000001</v>
      </c>
      <c r="F30" s="194">
        <f t="shared" si="1"/>
        <v>1202952.8599999999</v>
      </c>
      <c r="G30" s="194">
        <f t="shared" si="1"/>
        <v>859800</v>
      </c>
      <c r="H30" s="194">
        <f t="shared" si="1"/>
        <v>520200</v>
      </c>
      <c r="I30" s="194">
        <f t="shared" si="1"/>
        <v>1778030</v>
      </c>
      <c r="J30" s="194">
        <f t="shared" si="1"/>
        <v>366480</v>
      </c>
      <c r="K30" s="194">
        <f t="shared" si="1"/>
        <v>1147185</v>
      </c>
      <c r="L30" s="194">
        <f>SUM(L8:L29)</f>
        <v>346406</v>
      </c>
      <c r="M30" s="194">
        <f>SUM(M8:M29)</f>
        <v>631280</v>
      </c>
      <c r="N30" s="193">
        <f>SUM(N8:N29)</f>
        <v>11661940.960000001</v>
      </c>
      <c r="P30" s="181"/>
      <c r="Q30" s="181"/>
    </row>
    <row r="31" spans="1:18" ht="11.25" customHeight="1" thickTop="1" x14ac:dyDescent="0.2">
      <c r="A31" s="192"/>
      <c r="B31" s="56"/>
      <c r="C31" s="180"/>
      <c r="D31" s="180"/>
      <c r="E31" s="180"/>
      <c r="F31" s="180"/>
      <c r="G31" s="180"/>
      <c r="H31" s="180"/>
      <c r="I31" s="180"/>
      <c r="J31" s="180"/>
      <c r="K31" s="180"/>
      <c r="L31" s="180"/>
      <c r="M31" s="180"/>
      <c r="N31" s="191"/>
      <c r="P31" s="181"/>
      <c r="Q31" s="184"/>
    </row>
    <row r="32" spans="1:18" ht="11.25" customHeight="1" thickBot="1" x14ac:dyDescent="0.25">
      <c r="B32" s="190"/>
      <c r="C32" s="189"/>
      <c r="D32" s="189"/>
      <c r="E32" s="189"/>
      <c r="F32" s="189"/>
      <c r="G32" s="189"/>
      <c r="H32" s="189"/>
      <c r="I32" s="189"/>
      <c r="J32" s="189"/>
      <c r="K32" s="189"/>
      <c r="L32" s="189"/>
      <c r="M32" s="189"/>
      <c r="N32" s="188"/>
    </row>
    <row r="33" spans="3:14" ht="19.899999999999999" hidden="1" customHeight="1" x14ac:dyDescent="0.2">
      <c r="C33" s="187">
        <f t="shared" ref="C33:M33" si="2">+C25/C8</f>
        <v>0</v>
      </c>
      <c r="D33" s="187">
        <f t="shared" si="2"/>
        <v>0</v>
      </c>
      <c r="E33" s="187" t="e">
        <f t="shared" si="2"/>
        <v>#DIV/0!</v>
      </c>
      <c r="F33" s="187">
        <f t="shared" si="2"/>
        <v>0</v>
      </c>
      <c r="G33" s="187">
        <f t="shared" si="2"/>
        <v>0</v>
      </c>
      <c r="H33" s="187">
        <f t="shared" si="2"/>
        <v>0</v>
      </c>
      <c r="I33" s="186">
        <f t="shared" si="2"/>
        <v>250</v>
      </c>
      <c r="J33" s="185">
        <f t="shared" si="2"/>
        <v>0</v>
      </c>
      <c r="K33" s="185">
        <f t="shared" si="2"/>
        <v>0</v>
      </c>
      <c r="L33" s="185">
        <f t="shared" si="2"/>
        <v>0</v>
      </c>
      <c r="M33" s="185">
        <f t="shared" si="2"/>
        <v>0</v>
      </c>
    </row>
    <row r="34" spans="3:14" ht="19.899999999999999" hidden="1" customHeight="1" x14ac:dyDescent="0.2">
      <c r="C34" s="182">
        <f t="shared" ref="C34:J34" si="3">(C8+C25)*0.135794</f>
        <v>1019.81294</v>
      </c>
      <c r="D34" s="182">
        <f t="shared" si="3"/>
        <v>339.48500000000001</v>
      </c>
      <c r="E34" s="182">
        <f t="shared" si="3"/>
        <v>0</v>
      </c>
      <c r="F34" s="182">
        <f t="shared" si="3"/>
        <v>570.33479999999997</v>
      </c>
      <c r="G34" s="182">
        <f t="shared" si="3"/>
        <v>5160.1719999999996</v>
      </c>
      <c r="H34" s="182">
        <f t="shared" si="3"/>
        <v>441.33049999999997</v>
      </c>
      <c r="I34" s="182">
        <f t="shared" si="3"/>
        <v>170421.47</v>
      </c>
      <c r="J34" s="182">
        <f t="shared" si="3"/>
        <v>271.58800000000002</v>
      </c>
      <c r="K34" s="182"/>
      <c r="L34" s="182">
        <f>(L8+L25)*0.135794</f>
        <v>40.738199999999999</v>
      </c>
      <c r="M34" s="182">
        <f>(M8+M25)*0.135794</f>
        <v>3055.3649999999998</v>
      </c>
      <c r="N34" s="180"/>
    </row>
    <row r="35" spans="3:14" ht="19.899999999999999" hidden="1" customHeight="1" x14ac:dyDescent="0.2">
      <c r="C35" s="180">
        <f t="shared" ref="C35:J35" si="4">C34-C26</f>
        <v>1019.81294</v>
      </c>
      <c r="D35" s="180">
        <f t="shared" si="4"/>
        <v>339.48500000000001</v>
      </c>
      <c r="E35" s="180">
        <f t="shared" si="4"/>
        <v>0</v>
      </c>
      <c r="F35" s="180">
        <f t="shared" si="4"/>
        <v>570.33479999999997</v>
      </c>
      <c r="G35" s="180">
        <f t="shared" si="4"/>
        <v>5160.1719999999996</v>
      </c>
      <c r="H35" s="180">
        <f t="shared" si="4"/>
        <v>441.33049999999997</v>
      </c>
      <c r="I35" s="180">
        <f t="shared" si="4"/>
        <v>170421.47</v>
      </c>
      <c r="J35" s="180">
        <f t="shared" si="4"/>
        <v>271.58800000000002</v>
      </c>
      <c r="K35" s="180"/>
      <c r="L35" s="180">
        <f>L34-L26</f>
        <v>40.738199999999999</v>
      </c>
      <c r="M35" s="180">
        <f>M34-M26</f>
        <v>1855.3649999999998</v>
      </c>
      <c r="N35" s="182"/>
    </row>
    <row r="36" spans="3:14" ht="19.899999999999999" hidden="1" customHeight="1" x14ac:dyDescent="0.2">
      <c r="C36" s="180"/>
      <c r="D36" s="180"/>
      <c r="E36" s="180"/>
      <c r="F36" s="180"/>
      <c r="G36" s="180"/>
      <c r="H36" s="180"/>
      <c r="I36" s="180"/>
      <c r="J36" s="180"/>
      <c r="K36" s="180"/>
      <c r="L36" s="180"/>
      <c r="M36" s="180"/>
      <c r="N36" s="184"/>
    </row>
    <row r="37" spans="3:14" ht="19.899999999999999" hidden="1" customHeight="1" x14ac:dyDescent="0.2">
      <c r="C37" s="183">
        <f t="shared" ref="C37:M37" si="5">(C8+C25)*12.57/100</f>
        <v>944.00699999999995</v>
      </c>
      <c r="D37" s="183">
        <f t="shared" si="5"/>
        <v>314.25</v>
      </c>
      <c r="E37" s="183">
        <f t="shared" si="5"/>
        <v>0</v>
      </c>
      <c r="F37" s="183">
        <f t="shared" si="5"/>
        <v>527.94000000000005</v>
      </c>
      <c r="G37" s="183">
        <f t="shared" si="5"/>
        <v>4776.6000000000004</v>
      </c>
      <c r="H37" s="183">
        <f t="shared" si="5"/>
        <v>408.52499999999998</v>
      </c>
      <c r="I37" s="183">
        <f t="shared" si="5"/>
        <v>157753.5</v>
      </c>
      <c r="J37" s="183">
        <f t="shared" si="5"/>
        <v>251.4</v>
      </c>
      <c r="K37" s="183">
        <f t="shared" si="5"/>
        <v>1126.3977</v>
      </c>
      <c r="L37" s="183">
        <f t="shared" si="5"/>
        <v>37.71</v>
      </c>
      <c r="M37" s="183">
        <f t="shared" si="5"/>
        <v>2828.25</v>
      </c>
    </row>
    <row r="38" spans="3:14" ht="19.899999999999999" hidden="1" customHeight="1" x14ac:dyDescent="0.2"/>
    <row r="39" spans="3:14" ht="19.899999999999999" hidden="1" customHeight="1" x14ac:dyDescent="0.2">
      <c r="C39" s="182">
        <f t="shared" ref="C39:M39" si="6">C37-C26</f>
        <v>944.00699999999995</v>
      </c>
      <c r="D39" s="182">
        <f t="shared" si="6"/>
        <v>314.25</v>
      </c>
      <c r="E39" s="182">
        <f t="shared" si="6"/>
        <v>0</v>
      </c>
      <c r="F39" s="182">
        <f t="shared" si="6"/>
        <v>527.94000000000005</v>
      </c>
      <c r="G39" s="182">
        <f t="shared" si="6"/>
        <v>4776.6000000000004</v>
      </c>
      <c r="H39" s="182">
        <f t="shared" si="6"/>
        <v>408.52499999999998</v>
      </c>
      <c r="I39" s="182">
        <f t="shared" si="6"/>
        <v>157753.5</v>
      </c>
      <c r="J39" s="182">
        <f t="shared" si="6"/>
        <v>251.4</v>
      </c>
      <c r="K39" s="182">
        <f t="shared" si="6"/>
        <v>1126.3977</v>
      </c>
      <c r="L39" s="182">
        <f t="shared" si="6"/>
        <v>37.71</v>
      </c>
      <c r="M39" s="182">
        <f t="shared" si="6"/>
        <v>1628.25</v>
      </c>
    </row>
    <row r="40" spans="3:14" ht="19.899999999999999" hidden="1" customHeight="1" x14ac:dyDescent="0.2"/>
    <row r="41" spans="3:14" ht="19.899999999999999" hidden="1" customHeight="1" x14ac:dyDescent="0.2">
      <c r="C41" s="181">
        <f>APLREV!C25</f>
        <v>19058082.84426279</v>
      </c>
      <c r="D41" s="181">
        <f>APLREV!D25</f>
        <v>23693973.419538788</v>
      </c>
      <c r="E41" s="181">
        <f>APLREV!E25</f>
        <v>2060341.9314787497</v>
      </c>
      <c r="G41" s="181">
        <f>APLREV!F25</f>
        <v>494083638.62170058</v>
      </c>
      <c r="H41" s="181">
        <f>APLREV!G25</f>
        <v>13193851.728108961</v>
      </c>
      <c r="I41" s="181">
        <f>APLREV!H25</f>
        <v>30354348.712780662</v>
      </c>
      <c r="J41" s="181">
        <f>APLREV!I25</f>
        <v>10297020.083926322</v>
      </c>
      <c r="L41" s="181">
        <f>APLREV!J25</f>
        <v>2086040</v>
      </c>
    </row>
    <row r="42" spans="3:14" ht="19.899999999999999" hidden="1" customHeight="1" x14ac:dyDescent="0.2">
      <c r="C42" s="181" t="e">
        <f>C41-#REF!</f>
        <v>#REF!</v>
      </c>
      <c r="D42" s="181" t="e">
        <f>D41-#REF!</f>
        <v>#REF!</v>
      </c>
      <c r="E42" s="181" t="e">
        <f>E41-#REF!</f>
        <v>#REF!</v>
      </c>
      <c r="F42" s="181" t="e">
        <f>F41-#REF!</f>
        <v>#REF!</v>
      </c>
      <c r="G42" s="181" t="e">
        <f>G41-#REF!</f>
        <v>#REF!</v>
      </c>
      <c r="H42" s="181" t="e">
        <f>H41-#REF!</f>
        <v>#REF!</v>
      </c>
      <c r="I42" s="181" t="e">
        <f>I41-#REF!</f>
        <v>#REF!</v>
      </c>
      <c r="J42" s="181" t="e">
        <f>J41-#REF!</f>
        <v>#REF!</v>
      </c>
      <c r="K42" s="181" t="e">
        <f>K41-#REF!</f>
        <v>#REF!</v>
      </c>
      <c r="L42" s="181" t="e">
        <f>L41-#REF!</f>
        <v>#REF!</v>
      </c>
    </row>
    <row r="43" spans="3:14" ht="19.899999999999999" hidden="1" customHeight="1" x14ac:dyDescent="0.2"/>
    <row r="44" spans="3:14" ht="19.899999999999999" customHeight="1" x14ac:dyDescent="0.2">
      <c r="E44" s="181"/>
      <c r="F44" s="181"/>
      <c r="H44" s="181"/>
      <c r="I44" s="181"/>
      <c r="K44" s="181"/>
      <c r="L44" s="181"/>
      <c r="M44" s="181"/>
      <c r="N44" s="181"/>
    </row>
    <row r="45" spans="3:14" ht="19.899999999999999" customHeight="1" x14ac:dyDescent="0.2">
      <c r="F45" s="180"/>
      <c r="J45" s="181"/>
    </row>
    <row r="46" spans="3:14" ht="19.899999999999999" customHeight="1" x14ac:dyDescent="0.2">
      <c r="F46" s="180"/>
    </row>
  </sheetData>
  <printOptions horizontalCentered="1"/>
  <pageMargins left="0.45" right="0.45" top="1.25" bottom="0.75" header="0.3" footer="0.3"/>
  <pageSetup scale="60"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B432F-FC41-4640-BE64-732738E2FC62}">
  <sheetPr>
    <pageSetUpPr fitToPage="1"/>
  </sheetPr>
  <dimension ref="A2:P27"/>
  <sheetViews>
    <sheetView showGridLines="0" showOutlineSymbols="0" zoomScaleNormal="100" zoomScalePageLayoutView="110" workbookViewId="0">
      <selection activeCell="M22" sqref="M22"/>
    </sheetView>
  </sheetViews>
  <sheetFormatPr defaultColWidth="9" defaultRowHeight="19.899999999999999" customHeight="1" x14ac:dyDescent="0.2"/>
  <cols>
    <col min="1" max="1" width="9.42578125" style="179" customWidth="1"/>
    <col min="2" max="2" width="36" style="179" customWidth="1"/>
    <col min="3" max="3" width="13.7109375" style="179" customWidth="1"/>
    <col min="4" max="4" width="14.28515625" style="179" customWidth="1"/>
    <col min="5" max="5" width="18.28515625" style="179" customWidth="1"/>
    <col min="6" max="6" width="13.7109375" style="179" customWidth="1"/>
    <col min="7" max="7" width="15.42578125" style="179" customWidth="1"/>
    <col min="8" max="8" width="14.85546875" style="179" customWidth="1"/>
    <col min="9" max="9" width="14.140625" style="179" bestFit="1" customWidth="1"/>
    <col min="10" max="10" width="13.7109375" style="179" customWidth="1"/>
    <col min="11" max="11" width="14.140625" style="179" bestFit="1" customWidth="1"/>
    <col min="12" max="13" width="13.7109375" style="179" customWidth="1"/>
    <col min="14" max="14" width="13.5703125" style="179" bestFit="1" customWidth="1"/>
    <col min="15" max="15" width="9.5703125" style="179" customWidth="1"/>
    <col min="16" max="16" width="18.28515625" style="179" customWidth="1"/>
    <col min="17" max="17" width="15.140625" style="179" bestFit="1" customWidth="1"/>
    <col min="18" max="16384" width="9" style="179"/>
  </cols>
  <sheetData>
    <row r="2" spans="1:16" ht="19.899999999999999" customHeight="1" x14ac:dyDescent="0.2">
      <c r="B2" s="202" t="s">
        <v>65</v>
      </c>
    </row>
    <row r="3" spans="1:16" ht="19.899999999999999" customHeight="1" x14ac:dyDescent="0.2">
      <c r="B3" s="202" t="s">
        <v>301</v>
      </c>
      <c r="G3" s="181"/>
      <c r="J3" s="181"/>
    </row>
    <row r="4" spans="1:16" ht="12.2" customHeight="1" x14ac:dyDescent="0.2"/>
    <row r="5" spans="1:16" ht="12.2" customHeight="1" x14ac:dyDescent="0.2">
      <c r="A5" s="201"/>
      <c r="C5" s="192"/>
      <c r="D5" s="192"/>
      <c r="E5" s="192"/>
      <c r="F5" s="192"/>
      <c r="G5" s="192"/>
      <c r="H5" s="192"/>
      <c r="I5" s="192"/>
      <c r="J5" s="192"/>
      <c r="K5" s="192"/>
      <c r="L5" s="192"/>
      <c r="M5" s="192"/>
      <c r="N5" s="192"/>
    </row>
    <row r="6" spans="1:16" ht="45" customHeight="1" thickBot="1" x14ac:dyDescent="0.25">
      <c r="A6" s="192"/>
      <c r="B6" s="76"/>
      <c r="C6" s="33" t="s">
        <v>74</v>
      </c>
      <c r="D6" s="33" t="s">
        <v>88</v>
      </c>
      <c r="E6" s="33" t="s">
        <v>76</v>
      </c>
      <c r="F6" s="33" t="s">
        <v>109</v>
      </c>
      <c r="G6" s="33" t="s">
        <v>77</v>
      </c>
      <c r="H6" s="33" t="s">
        <v>254</v>
      </c>
      <c r="I6" s="33" t="s">
        <v>90</v>
      </c>
      <c r="J6" s="33" t="s">
        <v>79</v>
      </c>
      <c r="K6" s="33" t="s">
        <v>110</v>
      </c>
      <c r="L6" s="33" t="s">
        <v>287</v>
      </c>
      <c r="M6" s="33" t="s">
        <v>111</v>
      </c>
      <c r="N6" s="33" t="s">
        <v>47</v>
      </c>
      <c r="P6" s="180"/>
    </row>
    <row r="7" spans="1:16" ht="19.899999999999999" customHeight="1" x14ac:dyDescent="0.2">
      <c r="B7" s="81" t="s">
        <v>279</v>
      </c>
      <c r="C7" s="200"/>
      <c r="D7" s="200"/>
      <c r="E7" s="200"/>
      <c r="F7" s="200"/>
      <c r="G7" s="200"/>
      <c r="H7" s="200"/>
      <c r="I7" s="200"/>
      <c r="J7" s="200"/>
      <c r="K7" s="200"/>
      <c r="L7" s="200"/>
      <c r="M7" s="200"/>
      <c r="N7" s="199"/>
    </row>
    <row r="8" spans="1:16" ht="19.899999999999999" customHeight="1" thickBot="1" x14ac:dyDescent="0.25">
      <c r="A8" s="192"/>
      <c r="B8" s="56" t="s">
        <v>280</v>
      </c>
      <c r="C8" s="226">
        <v>36</v>
      </c>
      <c r="D8" s="226">
        <v>39.450000000000003</v>
      </c>
      <c r="E8" s="226">
        <v>3.2</v>
      </c>
      <c r="F8" s="226">
        <f>12.8+2.95</f>
        <v>15.75</v>
      </c>
      <c r="G8" s="226">
        <v>80</v>
      </c>
      <c r="H8" s="226">
        <v>39.950000000000003</v>
      </c>
      <c r="I8" s="226">
        <v>41.75</v>
      </c>
      <c r="J8" s="226">
        <f>28.74-3.22</f>
        <v>25.52</v>
      </c>
      <c r="K8" s="226">
        <v>28.53</v>
      </c>
      <c r="L8" s="226"/>
      <c r="M8" s="252">
        <v>21.85</v>
      </c>
      <c r="N8" s="227">
        <f>SUM(C8:M8)</f>
        <v>332</v>
      </c>
      <c r="O8" s="196"/>
      <c r="P8" s="181"/>
    </row>
    <row r="9" spans="1:16" ht="19.899999999999999" customHeight="1" thickBot="1" x14ac:dyDescent="0.25">
      <c r="A9" s="192"/>
      <c r="B9" s="56" t="s">
        <v>281</v>
      </c>
      <c r="C9" s="226">
        <v>3.3</v>
      </c>
      <c r="D9" s="226">
        <v>5.65</v>
      </c>
      <c r="E9" s="228">
        <v>0.7</v>
      </c>
      <c r="F9" s="226">
        <f>0.3+1.15</f>
        <v>1.45</v>
      </c>
      <c r="G9" s="226">
        <v>10.1</v>
      </c>
      <c r="H9" s="226">
        <v>5.5</v>
      </c>
      <c r="I9" s="226">
        <v>14.65</v>
      </c>
      <c r="J9" s="226">
        <v>8.35</v>
      </c>
      <c r="K9" s="226">
        <v>0.3</v>
      </c>
      <c r="L9" s="226"/>
      <c r="M9" s="252">
        <v>4</v>
      </c>
      <c r="N9" s="227">
        <f>SUM(C9:M9)</f>
        <v>53.999999999999993</v>
      </c>
      <c r="O9" s="196"/>
      <c r="P9" s="181"/>
    </row>
    <row r="10" spans="1:16" ht="19.899999999999999" customHeight="1" thickBot="1" x14ac:dyDescent="0.25">
      <c r="A10" s="192"/>
      <c r="B10" s="56" t="s">
        <v>282</v>
      </c>
      <c r="C10" s="226">
        <v>2</v>
      </c>
      <c r="D10" s="228">
        <v>3</v>
      </c>
      <c r="E10" s="228">
        <v>0.6</v>
      </c>
      <c r="F10" s="226">
        <f>1+0.8+0.6+0.33</f>
        <v>2.73</v>
      </c>
      <c r="G10" s="226">
        <v>15</v>
      </c>
      <c r="H10" s="226">
        <v>0</v>
      </c>
      <c r="I10" s="226">
        <v>11</v>
      </c>
      <c r="J10" s="226">
        <v>4.67</v>
      </c>
      <c r="K10" s="226">
        <v>7</v>
      </c>
      <c r="L10" s="228">
        <v>4</v>
      </c>
      <c r="M10" s="253"/>
      <c r="N10" s="227">
        <f>SUM(C10:M10)</f>
        <v>50</v>
      </c>
      <c r="O10" s="196"/>
      <c r="P10" s="181"/>
    </row>
    <row r="11" spans="1:16" ht="19.899999999999999" customHeight="1" thickBot="1" x14ac:dyDescent="0.25">
      <c r="A11" s="192"/>
      <c r="B11" s="56" t="s">
        <v>283</v>
      </c>
      <c r="C11" s="229">
        <f t="shared" ref="C11:M11" si="0">SUM(C8:C10)</f>
        <v>41.3</v>
      </c>
      <c r="D11" s="229">
        <f t="shared" si="0"/>
        <v>48.1</v>
      </c>
      <c r="E11" s="229">
        <f t="shared" si="0"/>
        <v>4.5</v>
      </c>
      <c r="F11" s="229">
        <f t="shared" si="0"/>
        <v>19.93</v>
      </c>
      <c r="G11" s="229">
        <f t="shared" si="0"/>
        <v>105.1</v>
      </c>
      <c r="H11" s="229">
        <f t="shared" si="0"/>
        <v>45.45</v>
      </c>
      <c r="I11" s="229">
        <f t="shared" si="0"/>
        <v>67.400000000000006</v>
      </c>
      <c r="J11" s="229">
        <f t="shared" si="0"/>
        <v>38.54</v>
      </c>
      <c r="K11" s="229">
        <f t="shared" si="0"/>
        <v>35.83</v>
      </c>
      <c r="L11" s="229">
        <f t="shared" si="0"/>
        <v>4</v>
      </c>
      <c r="M11" s="229">
        <f t="shared" si="0"/>
        <v>25.85</v>
      </c>
      <c r="N11" s="230">
        <f>SUM(C11:M11)</f>
        <v>436</v>
      </c>
    </row>
    <row r="12" spans="1:16" ht="11.25" customHeight="1" thickTop="1" x14ac:dyDescent="0.2">
      <c r="A12" s="192"/>
      <c r="B12" s="56"/>
      <c r="C12" s="180"/>
      <c r="D12" s="180"/>
      <c r="E12" s="180"/>
      <c r="F12" s="180"/>
      <c r="G12" s="180"/>
      <c r="H12" s="180"/>
      <c r="I12" s="180"/>
      <c r="J12" s="180"/>
      <c r="K12" s="180"/>
      <c r="L12" s="180"/>
      <c r="M12" s="180"/>
      <c r="N12" s="191"/>
    </row>
    <row r="13" spans="1:16" ht="11.25" customHeight="1" thickBot="1" x14ac:dyDescent="0.25">
      <c r="B13" s="190"/>
      <c r="C13" s="189"/>
      <c r="D13" s="189"/>
      <c r="E13" s="189"/>
      <c r="F13" s="189"/>
      <c r="G13" s="189"/>
      <c r="H13" s="189"/>
      <c r="I13" s="189"/>
      <c r="J13" s="189"/>
      <c r="K13" s="189"/>
      <c r="L13" s="189"/>
      <c r="M13" s="189"/>
      <c r="N13" s="188"/>
    </row>
    <row r="14" spans="1:16" ht="19.899999999999999" hidden="1" customHeight="1" x14ac:dyDescent="0.2">
      <c r="C14" s="187" t="e">
        <f>+#REF!/C8</f>
        <v>#REF!</v>
      </c>
      <c r="D14" s="187" t="e">
        <f>+#REF!/D8</f>
        <v>#REF!</v>
      </c>
      <c r="E14" s="187" t="e">
        <f>+#REF!/E8</f>
        <v>#REF!</v>
      </c>
      <c r="F14" s="187" t="e">
        <f>+#REF!/F8</f>
        <v>#REF!</v>
      </c>
      <c r="G14" s="187" t="e">
        <f>+#REF!/G8</f>
        <v>#REF!</v>
      </c>
      <c r="H14" s="187" t="e">
        <f>+#REF!/H8</f>
        <v>#REF!</v>
      </c>
      <c r="I14" s="186" t="e">
        <f>+#REF!/I8</f>
        <v>#REF!</v>
      </c>
      <c r="J14" s="185" t="e">
        <f>+#REF!/J8</f>
        <v>#REF!</v>
      </c>
      <c r="K14" s="185" t="e">
        <f>+#REF!/K8</f>
        <v>#REF!</v>
      </c>
      <c r="L14" s="185" t="e">
        <f>+#REF!/L8</f>
        <v>#REF!</v>
      </c>
      <c r="M14" s="185"/>
    </row>
    <row r="15" spans="1:16" ht="19.899999999999999" hidden="1" customHeight="1" x14ac:dyDescent="0.2">
      <c r="C15" s="182" t="e">
        <f>(C8+#REF!)*0.135794</f>
        <v>#REF!</v>
      </c>
      <c r="D15" s="182" t="e">
        <f>(D8+#REF!)*0.135794</f>
        <v>#REF!</v>
      </c>
      <c r="E15" s="182" t="e">
        <f>(E8+#REF!)*0.135794</f>
        <v>#REF!</v>
      </c>
      <c r="F15" s="182" t="e">
        <f>(F8+#REF!)*0.135794</f>
        <v>#REF!</v>
      </c>
      <c r="G15" s="182" t="e">
        <f>(G8+#REF!)*0.135794</f>
        <v>#REF!</v>
      </c>
      <c r="H15" s="182" t="e">
        <f>(H8+#REF!)*0.135794</f>
        <v>#REF!</v>
      </c>
      <c r="I15" s="182" t="e">
        <f>(I8+#REF!)*0.135794</f>
        <v>#REF!</v>
      </c>
      <c r="J15" s="182" t="e">
        <f>(J8+#REF!)*0.135794</f>
        <v>#REF!</v>
      </c>
      <c r="K15" s="182"/>
      <c r="L15" s="182" t="e">
        <f>(L8+#REF!)*0.135794</f>
        <v>#REF!</v>
      </c>
      <c r="M15" s="182"/>
      <c r="N15" s="180"/>
    </row>
    <row r="16" spans="1:16" ht="19.899999999999999" hidden="1" customHeight="1" x14ac:dyDescent="0.2">
      <c r="C16" s="180" t="e">
        <f>C15-#REF!</f>
        <v>#REF!</v>
      </c>
      <c r="D16" s="180" t="e">
        <f>D15-#REF!</f>
        <v>#REF!</v>
      </c>
      <c r="E16" s="180" t="e">
        <f>E15-#REF!</f>
        <v>#REF!</v>
      </c>
      <c r="F16" s="180" t="e">
        <f>F15-#REF!</f>
        <v>#REF!</v>
      </c>
      <c r="G16" s="180" t="e">
        <f>G15-#REF!</f>
        <v>#REF!</v>
      </c>
      <c r="H16" s="180" t="e">
        <f>H15-#REF!</f>
        <v>#REF!</v>
      </c>
      <c r="I16" s="180" t="e">
        <f>I15-#REF!</f>
        <v>#REF!</v>
      </c>
      <c r="J16" s="180" t="e">
        <f>J15-#REF!</f>
        <v>#REF!</v>
      </c>
      <c r="K16" s="180"/>
      <c r="L16" s="180" t="e">
        <f>L15-#REF!</f>
        <v>#REF!</v>
      </c>
      <c r="M16" s="180"/>
      <c r="N16" s="182"/>
    </row>
    <row r="17" spans="2:14" ht="19.899999999999999" hidden="1" customHeight="1" x14ac:dyDescent="0.2">
      <c r="C17" s="180"/>
      <c r="D17" s="180"/>
      <c r="E17" s="180"/>
      <c r="F17" s="180"/>
      <c r="G17" s="180"/>
      <c r="H17" s="180"/>
      <c r="I17" s="180"/>
      <c r="J17" s="180"/>
      <c r="K17" s="180"/>
      <c r="L17" s="180"/>
      <c r="M17" s="180"/>
      <c r="N17" s="184"/>
    </row>
    <row r="18" spans="2:14" ht="19.899999999999999" hidden="1" customHeight="1" x14ac:dyDescent="0.2">
      <c r="C18" s="183" t="e">
        <f>(C8+#REF!)*12.57/100</f>
        <v>#REF!</v>
      </c>
      <c r="D18" s="183" t="e">
        <f>(D8+#REF!)*12.57/100</f>
        <v>#REF!</v>
      </c>
      <c r="E18" s="183" t="e">
        <f>(E8+#REF!)*12.57/100</f>
        <v>#REF!</v>
      </c>
      <c r="F18" s="183" t="e">
        <f>(F8+#REF!)*12.57/100</f>
        <v>#REF!</v>
      </c>
      <c r="G18" s="183" t="e">
        <f>(G8+#REF!)*12.57/100</f>
        <v>#REF!</v>
      </c>
      <c r="H18" s="183" t="e">
        <f>(H8+#REF!)*12.57/100</f>
        <v>#REF!</v>
      </c>
      <c r="I18" s="183" t="e">
        <f>(I8+#REF!)*12.57/100</f>
        <v>#REF!</v>
      </c>
      <c r="J18" s="183" t="e">
        <f>(J8+#REF!)*12.57/100</f>
        <v>#REF!</v>
      </c>
      <c r="K18" s="183" t="e">
        <f>(K8+#REF!)*12.57/100</f>
        <v>#REF!</v>
      </c>
      <c r="L18" s="183" t="e">
        <f>(L8+#REF!)*12.57/100</f>
        <v>#REF!</v>
      </c>
      <c r="M18" s="183"/>
    </row>
    <row r="19" spans="2:14" ht="19.899999999999999" hidden="1" customHeight="1" x14ac:dyDescent="0.2"/>
    <row r="20" spans="2:14" ht="19.899999999999999" hidden="1" customHeight="1" x14ac:dyDescent="0.2">
      <c r="C20" s="182" t="e">
        <f>C18-#REF!</f>
        <v>#REF!</v>
      </c>
      <c r="D20" s="182" t="e">
        <f>D18-#REF!</f>
        <v>#REF!</v>
      </c>
      <c r="E20" s="182" t="e">
        <f>E18-#REF!</f>
        <v>#REF!</v>
      </c>
      <c r="F20" s="182" t="e">
        <f>F18-#REF!</f>
        <v>#REF!</v>
      </c>
      <c r="G20" s="182" t="e">
        <f>G18-#REF!</f>
        <v>#REF!</v>
      </c>
      <c r="H20" s="182" t="e">
        <f>H18-#REF!</f>
        <v>#REF!</v>
      </c>
      <c r="I20" s="182" t="e">
        <f>I18-#REF!</f>
        <v>#REF!</v>
      </c>
      <c r="J20" s="182" t="e">
        <f>J18-#REF!</f>
        <v>#REF!</v>
      </c>
      <c r="K20" s="182" t="e">
        <f>K18-#REF!</f>
        <v>#REF!</v>
      </c>
      <c r="L20" s="182" t="e">
        <f>L18-#REF!</f>
        <v>#REF!</v>
      </c>
      <c r="M20" s="182"/>
    </row>
    <row r="21" spans="2:14" ht="19.899999999999999" hidden="1" customHeight="1" x14ac:dyDescent="0.2"/>
    <row r="22" spans="2:14" ht="19.899999999999999" hidden="1" customHeight="1" x14ac:dyDescent="0.2">
      <c r="C22" s="181">
        <f>APLREV!C25</f>
        <v>19058082.84426279</v>
      </c>
      <c r="D22" s="181">
        <f>APLREV!D25</f>
        <v>23693973.419538788</v>
      </c>
      <c r="E22" s="181">
        <f>APLREV!E25</f>
        <v>2060341.9314787497</v>
      </c>
      <c r="G22" s="181">
        <f>APLREV!F25</f>
        <v>494083638.62170058</v>
      </c>
      <c r="H22" s="181">
        <f>APLREV!G25</f>
        <v>13193851.728108961</v>
      </c>
      <c r="I22" s="181">
        <f>APLREV!H25</f>
        <v>30354348.712780662</v>
      </c>
      <c r="J22" s="181">
        <f>APLREV!I25</f>
        <v>10297020.083926322</v>
      </c>
      <c r="L22" s="181">
        <f>APLREV!J25</f>
        <v>2086040</v>
      </c>
      <c r="M22" s="181"/>
    </row>
    <row r="23" spans="2:14" ht="19.899999999999999" hidden="1" customHeight="1" x14ac:dyDescent="0.2">
      <c r="C23" s="181" t="e">
        <f>C22-#REF!</f>
        <v>#REF!</v>
      </c>
      <c r="D23" s="181" t="e">
        <f>D22-#REF!</f>
        <v>#REF!</v>
      </c>
      <c r="E23" s="181" t="e">
        <f>E22-#REF!</f>
        <v>#REF!</v>
      </c>
      <c r="F23" s="181" t="e">
        <f>F22-#REF!</f>
        <v>#REF!</v>
      </c>
      <c r="G23" s="181" t="e">
        <f>G22-#REF!</f>
        <v>#REF!</v>
      </c>
      <c r="H23" s="181" t="e">
        <f>H22-#REF!</f>
        <v>#REF!</v>
      </c>
      <c r="I23" s="181" t="e">
        <f>I22-#REF!</f>
        <v>#REF!</v>
      </c>
      <c r="J23" s="181" t="e">
        <f>J22-#REF!</f>
        <v>#REF!</v>
      </c>
      <c r="K23" s="181" t="e">
        <f>K22-#REF!</f>
        <v>#REF!</v>
      </c>
      <c r="L23" s="181" t="e">
        <f>L22-#REF!</f>
        <v>#REF!</v>
      </c>
      <c r="M23" s="181"/>
    </row>
    <row r="24" spans="2:14" ht="19.899999999999999" hidden="1" customHeight="1" x14ac:dyDescent="0.2"/>
    <row r="25" spans="2:14" ht="19.899999999999999" customHeight="1" x14ac:dyDescent="0.2">
      <c r="B25" s="202" t="s">
        <v>294</v>
      </c>
      <c r="F25" s="181"/>
    </row>
    <row r="26" spans="2:14" ht="80.25" customHeight="1" x14ac:dyDescent="0.2">
      <c r="B26" s="255" t="s">
        <v>300</v>
      </c>
      <c r="C26" s="255"/>
      <c r="D26" s="255"/>
      <c r="E26" s="255"/>
      <c r="F26" s="255"/>
      <c r="G26" s="255"/>
      <c r="H26" s="255"/>
      <c r="I26" s="255"/>
      <c r="J26" s="255"/>
      <c r="K26" s="255"/>
      <c r="L26" s="255"/>
      <c r="M26" s="255"/>
      <c r="N26" s="255"/>
    </row>
    <row r="27" spans="2:14" ht="19.899999999999999" customHeight="1" x14ac:dyDescent="0.2">
      <c r="F27" s="180"/>
    </row>
  </sheetData>
  <mergeCells count="1">
    <mergeCell ref="B26:N26"/>
  </mergeCells>
  <printOptions horizontalCentered="1"/>
  <pageMargins left="0.45" right="0.45" top="1.25" bottom="0.75" header="0.3" footer="0.3"/>
  <pageSetup scale="62"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05eaa766-c91b-4120-ae70-6c08f6a8fda2">
      <UserInfo>
        <DisplayName>SP2016_HR_All</DisplayName>
        <AccountId>363</AccountId>
        <AccountType/>
      </UserInfo>
      <UserInfo>
        <DisplayName>SPO_Budget_HR</DisplayName>
        <AccountId>660</AccountId>
        <AccountType/>
      </UserInfo>
    </SharedWithUsers>
    <TaxCatchAll xmlns="05eaa766-c91b-4120-ae70-6c08f6a8fda2" xsi:nil="true"/>
    <lcf76f155ced4ddcb4097134ff3c332f xmlns="0223d1c8-cec9-4247-8e63-595ae768402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E82A299F677AA4C8AAB0728D163C816" ma:contentTypeVersion="15" ma:contentTypeDescription="Create a new document." ma:contentTypeScope="" ma:versionID="5bd9049c2c3bbce9f822bce2bab33804">
  <xsd:schema xmlns:xsd="http://www.w3.org/2001/XMLSchema" xmlns:xs="http://www.w3.org/2001/XMLSchema" xmlns:p="http://schemas.microsoft.com/office/2006/metadata/properties" xmlns:ns2="05eaa766-c91b-4120-ae70-6c08f6a8fda2" xmlns:ns3="0223d1c8-cec9-4247-8e63-595ae7684026" targetNamespace="http://schemas.microsoft.com/office/2006/metadata/properties" ma:root="true" ma:fieldsID="b5446de08836dc1a85bb111d3a415543" ns2:_="" ns3:_="">
    <xsd:import namespace="05eaa766-c91b-4120-ae70-6c08f6a8fda2"/>
    <xsd:import namespace="0223d1c8-cec9-4247-8e63-595ae768402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eaa766-c91b-4120-ae70-6c08f6a8fda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881663b4-8ce3-415f-acce-cd0d483eace7}" ma:internalName="TaxCatchAll" ma:showField="CatchAllData" ma:web="05eaa766-c91b-4120-ae70-6c08f6a8fda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223d1c8-cec9-4247-8e63-595ae768402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a090e69-68ed-4240-a6f3-2772c3616f8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58B91C-D5D9-47D1-9B0F-BE256B064BC2}">
  <ds:schemaRefs>
    <ds:schemaRef ds:uri="http://schemas.microsoft.com/sharepoint/v3/contenttype/forms"/>
  </ds:schemaRefs>
</ds:datastoreItem>
</file>

<file path=customXml/itemProps2.xml><?xml version="1.0" encoding="utf-8"?>
<ds:datastoreItem xmlns:ds="http://schemas.openxmlformats.org/officeDocument/2006/customXml" ds:itemID="{EF32E137-3A9B-4E0A-8C61-D1F79FEF8319}">
  <ds:schemaRefs>
    <ds:schemaRef ds:uri="http://schemas.microsoft.com/office/2006/documentManagement/types"/>
    <ds:schemaRef ds:uri="http://purl.org/dc/terms/"/>
    <ds:schemaRef ds:uri="http://purl.org/dc/elements/1.1/"/>
    <ds:schemaRef ds:uri="05eaa766-c91b-4120-ae70-6c08f6a8fda2"/>
    <ds:schemaRef ds:uri="http://schemas.openxmlformats.org/package/2006/metadata/core-properties"/>
    <ds:schemaRef ds:uri="http://purl.org/dc/dcmitype/"/>
    <ds:schemaRef ds:uri="http://schemas.microsoft.com/office/infopath/2007/PartnerControls"/>
    <ds:schemaRef ds:uri="0223d1c8-cec9-4247-8e63-595ae7684026"/>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B452360-F257-4070-B212-C2820FE54C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eaa766-c91b-4120-ae70-6c08f6a8fda2"/>
    <ds:schemaRef ds:uri="0223d1c8-cec9-4247-8e63-595ae76840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19</vt:i4>
      </vt:variant>
    </vt:vector>
  </HeadingPairs>
  <TitlesOfParts>
    <vt:vector size="42" baseType="lpstr">
      <vt:lpstr>C&amp;ENarr</vt:lpstr>
      <vt:lpstr>WkforceNarr</vt:lpstr>
      <vt:lpstr>Pubsvcnarr</vt:lpstr>
      <vt:lpstr>allocation</vt:lpstr>
      <vt:lpstr>SVCPLAN</vt:lpstr>
      <vt:lpstr>APLREV</vt:lpstr>
      <vt:lpstr>ALLEXP</vt:lpstr>
      <vt:lpstr>EXP- OTHERS</vt:lpstr>
      <vt:lpstr>EMPLOYEES</vt:lpstr>
      <vt:lpstr>LEGAL SERVICES</vt:lpstr>
      <vt:lpstr>INDIRECT</vt:lpstr>
      <vt:lpstr>BENEFIT</vt:lpstr>
      <vt:lpstr>LOCAL</vt:lpstr>
      <vt:lpstr>Unrestricted fund bal</vt:lpstr>
      <vt:lpstr>Overall Fund Bal</vt:lpstr>
      <vt:lpstr>REVANALYSIS-2</vt:lpstr>
      <vt:lpstr>UNRESTRICTEDREV-2</vt:lpstr>
      <vt:lpstr>PROGRAM EXP-2</vt:lpstr>
      <vt:lpstr>CATEGORY EXP-2</vt:lpstr>
      <vt:lpstr>SHAREDINDR-2</vt:lpstr>
      <vt:lpstr>UNRESTRICTEDUSE-2</vt:lpstr>
      <vt:lpstr>Alloc</vt:lpstr>
      <vt:lpstr>GRAPH</vt:lpstr>
      <vt:lpstr>ALLEXP!Print_Area</vt:lpstr>
      <vt:lpstr>APLREV!Print_Area</vt:lpstr>
      <vt:lpstr>BENEFIT!Print_Area</vt:lpstr>
      <vt:lpstr>'C&amp;ENarr'!Print_Area</vt:lpstr>
      <vt:lpstr>'CATEGORY EXP-2'!Print_Area</vt:lpstr>
      <vt:lpstr>EMPLOYEES!Print_Area</vt:lpstr>
      <vt:lpstr>'EXP- OTHERS'!Print_Area</vt:lpstr>
      <vt:lpstr>INDIRECT!Print_Area</vt:lpstr>
      <vt:lpstr>'LEGAL SERVICES'!Print_Area</vt:lpstr>
      <vt:lpstr>LOCAL!Print_Area</vt:lpstr>
      <vt:lpstr>'Overall Fund Bal'!Print_Area</vt:lpstr>
      <vt:lpstr>'PROGRAM EXP-2'!Print_Area</vt:lpstr>
      <vt:lpstr>Pubsvcnarr!Print_Area</vt:lpstr>
      <vt:lpstr>'REVANALYSIS-2'!Print_Area</vt:lpstr>
      <vt:lpstr>'SHAREDINDR-2'!Print_Area</vt:lpstr>
      <vt:lpstr>SVCPLAN!Print_Area</vt:lpstr>
      <vt:lpstr>'Unrestricted fund bal'!Print_Area</vt:lpstr>
      <vt:lpstr>'UNRESTRICTEDREV-2'!Print_Area</vt:lpstr>
      <vt:lpstr>WkforceNarr!Print_Area</vt:lpstr>
    </vt:vector>
  </TitlesOfParts>
  <Manager/>
  <Company>Houston-Galveston Area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chang</dc:creator>
  <cp:keywords/>
  <dc:description/>
  <cp:lastModifiedBy>Gonzalez, Yvette</cp:lastModifiedBy>
  <cp:revision/>
  <cp:lastPrinted>2024-12-10T17:13:33Z</cp:lastPrinted>
  <dcterms:created xsi:type="dcterms:W3CDTF">2001-10-01T14:20:04Z</dcterms:created>
  <dcterms:modified xsi:type="dcterms:W3CDTF">2026-01-05T20:27:06Z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0x0101009E82A299F677AA4C8AAB0728D163C816</vt:lpwstr>
  </property>
  <property fmtid="{D5CDD505-2E9C-101B-9397-08002B2CF9AE}" pid="3" name="WorkflowChangePath">
    <vt:lpwstr>b56de1d1-88b8-4665-8113-e2b21799e0fd,9;b56de1d1-88b8-4665-8113-e2b21799e0fd,19;b56de1d1-88b8-4665-8113-e2b21799e0fd,22;b56de1d1-88b8-4665-8113-e2b21799e0fd,25;b56de1d1-88b8-4665-8113-e2b21799e0fd,28;b56de1d1-88b8-4665-8113-e2b21799e0fd,32;b56de1d1-88b8-46</vt:lpwstr>
  </property>
  <property fmtid="{D5CDD505-2E9C-101B-9397-08002B2CF9AE}" pid="4" name="_dlc_DocIdItemGuid">
    <vt:lpwstr>a2ee4583-5eef-46b0-b0be-7272e3212cb0</vt:lpwstr>
  </property>
  <property fmtid="{D5CDD505-2E9C-101B-9397-08002B2CF9AE}" pid="5" name="DocumentSetDescription">
    <vt:lpwstr/>
  </property>
  <property fmtid="{D5CDD505-2E9C-101B-9397-08002B2CF9AE}" pid="6" name="_ExtendedDescription">
    <vt:lpwstr/>
  </property>
  <property fmtid="{D5CDD505-2E9C-101B-9397-08002B2CF9AE}" pid="7" name="MediaServiceImageTags">
    <vt:lpwstr/>
  </property>
</Properties>
</file>