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https://hgac-my.sharepoint.com/personal/lingala_h-gac_com/Documents/2021 Call/Safety benefits/2021 call/"/>
    </mc:Choice>
  </mc:AlternateContent>
  <xr:revisionPtr revIDLastSave="4" documentId="13_ncr:1_{03FA8CAE-DBF8-4DF2-BCD9-19A7DCBA1702}" xr6:coauthVersionLast="46" xr6:coauthVersionMax="46" xr10:uidLastSave="{7C574F53-DD26-4E2F-829A-972078799F4A}"/>
  <bookViews>
    <workbookView xWindow="-120" yWindow="-120" windowWidth="29040" windowHeight="15840" tabRatio="763" activeTab="3" xr2:uid="{00000000-000D-0000-FFFF-FFFF00000000}"/>
  </bookViews>
  <sheets>
    <sheet name="Instructions" sheetId="8" r:id="rId1"/>
    <sheet name="ITS Delay Worksheet" sheetId="7" state="hidden" r:id="rId2"/>
    <sheet name="Emissions Reduction Worksheet" sheetId="5" state="hidden" r:id="rId3"/>
    <sheet name="Inputs &amp; Outputs" sheetId="11" r:id="rId4"/>
    <sheet name="Preventable Crash data" sheetId="19" r:id="rId5"/>
    <sheet name="Calculations" sheetId="12" r:id="rId6"/>
    <sheet name="Assumed Values" sheetId="2" r:id="rId7"/>
    <sheet name="Value of Statistical Life" sheetId="9" r:id="rId8"/>
    <sheet name="CRF Lookup Table" sheetId="16" r:id="rId9"/>
  </sheets>
  <externalReferences>
    <externalReference r:id="rId10"/>
  </externalReferences>
  <definedNames>
    <definedName name="_2021_2045_Demand_Growth">Calculations!$B$11</definedName>
    <definedName name="_2021_2045_V_C_Growth">Calculations!$B$17</definedName>
    <definedName name="_2021_Peak_Period_Capacity">'Inputs &amp; Outputs'!$C$30</definedName>
    <definedName name="_2021_V_C_Ratio">Calculations!$B$12</definedName>
    <definedName name="_2021_Volume_ADT">'Inputs &amp; Outputs'!$C$26</definedName>
    <definedName name="_2030_2030_Demand_Growth">Calculations!$B$9</definedName>
    <definedName name="_2030_2045_Demand_Growth">Calculations!$B$10</definedName>
    <definedName name="_2030_2045_V_C_Growth">Calculations!$B$16</definedName>
    <definedName name="_2030_Peak_Period_Capacity">'Inputs &amp; Outputs'!$C$32</definedName>
    <definedName name="_2030_Peak_Period_Volume">'Inputs &amp; Outputs'!$C$31</definedName>
    <definedName name="_2030_V_C_Ratio">Calculations!$B$13</definedName>
    <definedName name="_2045_Peak_Period_Capacity">'Inputs &amp; Outputs'!$C$34</definedName>
    <definedName name="_2045_Peak_Period_Volume">'Inputs &amp; Outputs'!$C$33</definedName>
    <definedName name="_2045_V_C_Ratio">Calculations!$B$14</definedName>
    <definedName name="_Avg_Crash_Rate_per_100m_VMT">Calculations!$E$11:$E$14</definedName>
    <definedName name="Application_ID_Number">'Inputs &amp; Outputs'!$C$13</definedName>
    <definedName name="Appropriate_Crash_Reduction_Factor">'Inputs &amp; Outputs'!$C$21</definedName>
    <definedName name="Base_Year">Calculations!$B$4</definedName>
    <definedName name="CRIS_Titles">Calculations!$D$11:$D$14</definedName>
    <definedName name="Death_Rate">Calculations!$E$11</definedName>
    <definedName name="Freeway">[1]VMT!$B$45:$D$52</definedName>
    <definedName name="Incap_Injry_Rate">Calculations!$E$12</definedName>
    <definedName name="Non_Injry_Rate">Calculations!#REF!</definedName>
    <definedName name="Nonincap_Injry_Rate">Calculations!#REF!</definedName>
    <definedName name="Other">[1]VMT!$B$56:$D$63</definedName>
    <definedName name="Poss_Injry_Rate">Calculations!#REF!</definedName>
    <definedName name="Possible_Crash_Reductions">Calculations!#REF!</definedName>
    <definedName name="_xlnm.Print_Area" localSheetId="6">'Assumed Values'!$B$2:$C$30</definedName>
    <definedName name="_xlnm.Print_Area" localSheetId="5">Calculations!$A$3:$Q$37</definedName>
    <definedName name="_xlnm.Print_Area" localSheetId="2">'Emissions Reduction Worksheet'!$A$3:$K$33</definedName>
    <definedName name="_xlnm.Print_Area" localSheetId="3">'Inputs &amp; Outputs'!$B$3:$F$39</definedName>
    <definedName name="_xlnm.Print_Area" localSheetId="0">Instructions!$A$1:$G$12</definedName>
    <definedName name="_xlnm.Print_Area" localSheetId="1">'ITS Delay Worksheet'!$A$3:$J$33</definedName>
    <definedName name="Project_Title">'Inputs &amp; Outputs'!$C$6</definedName>
    <definedName name="Real_Discount_Rate">'Assumed Values'!$C$6</definedName>
    <definedName name="Service_Life">'Inputs &amp; Outputs'!$C$22</definedName>
    <definedName name="Sponsor_ID_Number__CSJ__etc.">'Inputs &amp; Outputs'!$C$14</definedName>
    <definedName name="Unkn_Injry_Rate">Calculations!$E$14</definedName>
    <definedName name="Value_of_Crash_Savings__2018_____000s">Calculations!$Q$4:$Q$36</definedName>
    <definedName name="Value_of_Statistical_Life_2018">'Value of Statistical Life'!$F$5:$F$9</definedName>
    <definedName name="Year_Open_to_Traffic?">'Inputs &amp; Outputs'!$C$17</definedName>
    <definedName name="Years_to_include_in_BCA_Analysis">Calculations!$B$5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5" i="19" l="1"/>
  <c r="L14" i="12"/>
  <c r="L15" i="12"/>
  <c r="L16" i="12"/>
  <c r="L17" i="12"/>
  <c r="L18" i="12"/>
  <c r="L19" i="12"/>
  <c r="L20" i="12"/>
  <c r="L21" i="12"/>
  <c r="L22" i="12"/>
  <c r="L23" i="12"/>
  <c r="L24" i="12"/>
  <c r="L25" i="12"/>
  <c r="L26" i="12"/>
  <c r="L27" i="12"/>
  <c r="L28" i="12"/>
  <c r="L29" i="12"/>
  <c r="L30" i="12"/>
  <c r="L31" i="12"/>
  <c r="L32" i="12"/>
  <c r="L33" i="12"/>
  <c r="L13" i="12"/>
  <c r="L6" i="12"/>
  <c r="L7" i="12"/>
  <c r="L8" i="12"/>
  <c r="L9" i="12"/>
  <c r="L10" i="12"/>
  <c r="L11" i="12"/>
  <c r="L12" i="12"/>
  <c r="E6" i="12"/>
  <c r="E5" i="12"/>
  <c r="E4" i="12"/>
  <c r="E5" i="19" l="1"/>
  <c r="B22" i="12" l="1"/>
  <c r="B21" i="12"/>
  <c r="B20" i="12"/>
  <c r="B19" i="12"/>
  <c r="B23" i="12"/>
  <c r="E6" i="9"/>
  <c r="E7" i="9"/>
  <c r="E8" i="9"/>
  <c r="E9" i="9"/>
  <c r="E5" i="9"/>
  <c r="J15" i="19"/>
  <c r="K15" i="19" s="1"/>
  <c r="J16" i="19"/>
  <c r="K16" i="19" s="1"/>
  <c r="J11" i="19"/>
  <c r="K11" i="19" s="1"/>
  <c r="J12" i="19"/>
  <c r="K12" i="19" s="1"/>
  <c r="J7" i="19"/>
  <c r="K7" i="19" s="1"/>
  <c r="J8" i="19"/>
  <c r="K8" i="19" s="1"/>
  <c r="E8" i="19"/>
  <c r="E7" i="19"/>
  <c r="D15" i="19"/>
  <c r="E15" i="19" s="1"/>
  <c r="D16" i="19"/>
  <c r="E16" i="19" s="1"/>
  <c r="D11" i="19"/>
  <c r="E11" i="19" s="1"/>
  <c r="D12" i="19"/>
  <c r="E12" i="19" s="1"/>
  <c r="D7" i="19"/>
  <c r="D8" i="19"/>
  <c r="I20" i="19"/>
  <c r="J20" i="19" s="1"/>
  <c r="K20" i="19" s="1"/>
  <c r="C20" i="19"/>
  <c r="D20" i="19" s="1"/>
  <c r="E20" i="19" s="1"/>
  <c r="I19" i="19"/>
  <c r="J19" i="19" s="1"/>
  <c r="K19" i="19" s="1"/>
  <c r="C19" i="19"/>
  <c r="D19" i="19" s="1"/>
  <c r="E19" i="19" s="1"/>
  <c r="C22" i="11"/>
  <c r="C21" i="11"/>
  <c r="C20" i="11"/>
  <c r="C19" i="11"/>
  <c r="I18" i="19"/>
  <c r="J18" i="19" s="1"/>
  <c r="K18" i="19" s="1"/>
  <c r="I17" i="19"/>
  <c r="J17" i="19" s="1"/>
  <c r="K17" i="19" s="1"/>
  <c r="J14" i="19"/>
  <c r="K14" i="19" s="1"/>
  <c r="J13" i="19"/>
  <c r="K13" i="19" s="1"/>
  <c r="J10" i="19"/>
  <c r="K10" i="19" s="1"/>
  <c r="J9" i="19"/>
  <c r="K9" i="19" s="1"/>
  <c r="J6" i="19"/>
  <c r="K6" i="19" s="1"/>
  <c r="J5" i="19"/>
  <c r="K5" i="19" s="1"/>
  <c r="C18" i="19"/>
  <c r="D18" i="19" s="1"/>
  <c r="E18" i="19" s="1"/>
  <c r="C17" i="19"/>
  <c r="D17" i="19" s="1"/>
  <c r="E17" i="19" s="1"/>
  <c r="D14" i="19"/>
  <c r="E14" i="19" s="1"/>
  <c r="D13" i="19"/>
  <c r="E13" i="19" s="1"/>
  <c r="D10" i="19"/>
  <c r="E10" i="19" s="1"/>
  <c r="D9" i="19"/>
  <c r="E9" i="19" s="1"/>
  <c r="D6" i="19"/>
  <c r="E6" i="19" s="1"/>
  <c r="D5" i="19"/>
  <c r="B11" i="12" l="1"/>
  <c r="B10" i="12"/>
  <c r="B9" i="12"/>
  <c r="L34" i="12" l="1"/>
  <c r="L35" i="12"/>
  <c r="L36" i="12"/>
  <c r="L5" i="12"/>
  <c r="B5" i="12" l="1"/>
  <c r="O4" i="12" l="1"/>
  <c r="K4" i="12"/>
  <c r="B12" i="12" l="1"/>
  <c r="B14" i="12"/>
  <c r="B13" i="12"/>
  <c r="P4" i="12" l="1"/>
  <c r="M4" i="12" l="1"/>
  <c r="N4" i="12" s="1"/>
  <c r="J5" i="12"/>
  <c r="P5" i="12" s="1"/>
  <c r="K5" i="12" l="1"/>
  <c r="K6" i="12" s="1"/>
  <c r="K7" i="12" s="1"/>
  <c r="K8" i="12" s="1"/>
  <c r="K9" i="12" s="1"/>
  <c r="K10" i="12" s="1"/>
  <c r="K11" i="12" s="1"/>
  <c r="K12" i="12" s="1"/>
  <c r="K13" i="12" s="1"/>
  <c r="K14" i="12" s="1"/>
  <c r="K15" i="12" s="1"/>
  <c r="K16" i="12" s="1"/>
  <c r="K17" i="12" s="1"/>
  <c r="K18" i="12" s="1"/>
  <c r="K19" i="12" s="1"/>
  <c r="K20" i="12" s="1"/>
  <c r="K21" i="12" s="1"/>
  <c r="K22" i="12" s="1"/>
  <c r="K23" i="12" s="1"/>
  <c r="K24" i="12" s="1"/>
  <c r="K25" i="12" s="1"/>
  <c r="K26" i="12" s="1"/>
  <c r="K27" i="12" s="1"/>
  <c r="K28" i="12" s="1"/>
  <c r="K29" i="12" s="1"/>
  <c r="K30" i="12" s="1"/>
  <c r="K31" i="12" s="1"/>
  <c r="K32" i="12" s="1"/>
  <c r="K33" i="12" s="1"/>
  <c r="K34" i="12" s="1"/>
  <c r="K35" i="12" s="1"/>
  <c r="K36" i="12" s="1"/>
  <c r="M5" i="12"/>
  <c r="N5" i="12" s="1"/>
  <c r="O5" i="12" s="1"/>
  <c r="J6" i="12"/>
  <c r="P6" i="12" s="1"/>
  <c r="M6" i="12" l="1"/>
  <c r="N6" i="12" s="1"/>
  <c r="O6" i="12" s="1"/>
  <c r="J7" i="12"/>
  <c r="P7" i="12" s="1"/>
  <c r="C21" i="2"/>
  <c r="B18" i="5" s="1"/>
  <c r="E17" i="5" s="1"/>
  <c r="C22" i="2"/>
  <c r="B19" i="5"/>
  <c r="E18" i="5" s="1"/>
  <c r="G4" i="7"/>
  <c r="G5" i="7" s="1"/>
  <c r="G4" i="5"/>
  <c r="G5" i="5" s="1"/>
  <c r="G6" i="5" s="1"/>
  <c r="G7" i="5" s="1"/>
  <c r="G8" i="5" s="1"/>
  <c r="G9" i="5" s="1"/>
  <c r="G10" i="5" s="1"/>
  <c r="G11" i="5" s="1"/>
  <c r="G12" i="5" s="1"/>
  <c r="G13" i="5" s="1"/>
  <c r="G14" i="5" s="1"/>
  <c r="B18" i="7"/>
  <c r="B17" i="7"/>
  <c r="B16" i="7"/>
  <c r="E17" i="7"/>
  <c r="H4" i="7" l="1"/>
  <c r="I4" i="7" s="1"/>
  <c r="H10" i="5"/>
  <c r="C20" i="2"/>
  <c r="B21" i="5" s="1"/>
  <c r="C19" i="2"/>
  <c r="B20" i="5" s="1"/>
  <c r="H5" i="7"/>
  <c r="I5" i="7" s="1"/>
  <c r="G6" i="7"/>
  <c r="J14" i="5"/>
  <c r="G15" i="5"/>
  <c r="H14" i="5"/>
  <c r="M7" i="12"/>
  <c r="N7" i="12" s="1"/>
  <c r="O7" i="12" s="1"/>
  <c r="J8" i="12"/>
  <c r="P8" i="12" s="1"/>
  <c r="H6" i="5"/>
  <c r="H11" i="5"/>
  <c r="J5" i="5"/>
  <c r="J13" i="5"/>
  <c r="J11" i="5"/>
  <c r="J10" i="5"/>
  <c r="J9" i="5"/>
  <c r="J4" i="5"/>
  <c r="J12" i="5"/>
  <c r="J8" i="5"/>
  <c r="J7" i="5"/>
  <c r="J6" i="5"/>
  <c r="H12" i="5"/>
  <c r="H4" i="5"/>
  <c r="H13" i="5"/>
  <c r="H5" i="5"/>
  <c r="H7" i="5"/>
  <c r="H8" i="5"/>
  <c r="H9" i="5"/>
  <c r="C15" i="2" l="1"/>
  <c r="B19" i="7" s="1"/>
  <c r="K4" i="5"/>
  <c r="G7" i="7"/>
  <c r="H6" i="7"/>
  <c r="I6" i="7" s="1"/>
  <c r="H15" i="5"/>
  <c r="I15" i="5" s="1"/>
  <c r="J15" i="5"/>
  <c r="K15" i="5" s="1"/>
  <c r="G16" i="5"/>
  <c r="M8" i="12"/>
  <c r="N8" i="12" s="1"/>
  <c r="K10" i="5"/>
  <c r="K12" i="5"/>
  <c r="K8" i="5"/>
  <c r="K14" i="5"/>
  <c r="K7" i="5"/>
  <c r="K5" i="5"/>
  <c r="K6" i="5"/>
  <c r="K13" i="5"/>
  <c r="K11" i="5"/>
  <c r="K9" i="5"/>
  <c r="I13" i="5"/>
  <c r="J9" i="12"/>
  <c r="P9" i="12" s="1"/>
  <c r="I7" i="5"/>
  <c r="I8" i="5"/>
  <c r="I10" i="5"/>
  <c r="I9" i="5"/>
  <c r="I14" i="5"/>
  <c r="I12" i="5"/>
  <c r="I5" i="5"/>
  <c r="I6" i="5"/>
  <c r="I11" i="5"/>
  <c r="I4" i="5"/>
  <c r="M9" i="12" l="1"/>
  <c r="N9" i="12" s="1"/>
  <c r="H16" i="5"/>
  <c r="J16" i="5"/>
  <c r="K16" i="5" s="1"/>
  <c r="G17" i="5"/>
  <c r="G8" i="7"/>
  <c r="H7" i="7"/>
  <c r="I7" i="7"/>
  <c r="J7" i="7" s="1"/>
  <c r="J10" i="12"/>
  <c r="J6" i="7"/>
  <c r="J5" i="7"/>
  <c r="J4" i="7"/>
  <c r="M10" i="12" l="1"/>
  <c r="M11" i="12" s="1"/>
  <c r="H8" i="7"/>
  <c r="I8" i="7"/>
  <c r="J8" i="7" s="1"/>
  <c r="G9" i="7"/>
  <c r="J17" i="5"/>
  <c r="K17" i="5" s="1"/>
  <c r="G18" i="5"/>
  <c r="H17" i="5"/>
  <c r="I17" i="5" s="1"/>
  <c r="I16" i="5"/>
  <c r="P10" i="12"/>
  <c r="J11" i="12"/>
  <c r="N10" i="12" l="1"/>
  <c r="H9" i="7"/>
  <c r="I9" i="7" s="1"/>
  <c r="J9" i="7" s="1"/>
  <c r="G10" i="7"/>
  <c r="J18" i="5"/>
  <c r="K18" i="5" s="1"/>
  <c r="G19" i="5"/>
  <c r="H18" i="5"/>
  <c r="P11" i="12"/>
  <c r="N11" i="12"/>
  <c r="M12" i="12"/>
  <c r="J12" i="12"/>
  <c r="G11" i="7" l="1"/>
  <c r="H10" i="7"/>
  <c r="I10" i="7" s="1"/>
  <c r="J10" i="7" s="1"/>
  <c r="I18" i="5"/>
  <c r="H19" i="5"/>
  <c r="I19" i="5" s="1"/>
  <c r="J19" i="5"/>
  <c r="K19" i="5" s="1"/>
  <c r="G20" i="5"/>
  <c r="P12" i="12"/>
  <c r="M13" i="12"/>
  <c r="N12" i="12"/>
  <c r="J13" i="12"/>
  <c r="G12" i="7" l="1"/>
  <c r="H11" i="7"/>
  <c r="I11" i="7" s="1"/>
  <c r="J11" i="7" s="1"/>
  <c r="H20" i="5"/>
  <c r="I20" i="5" s="1"/>
  <c r="J20" i="5"/>
  <c r="K20" i="5" s="1"/>
  <c r="G21" i="5"/>
  <c r="P13" i="12"/>
  <c r="M14" i="12"/>
  <c r="N13" i="12"/>
  <c r="J14" i="12"/>
  <c r="J21" i="5" l="1"/>
  <c r="K21" i="5" s="1"/>
  <c r="G22" i="5"/>
  <c r="H21" i="5"/>
  <c r="H12" i="7"/>
  <c r="I12" i="7" s="1"/>
  <c r="J12" i="7" s="1"/>
  <c r="G13" i="7"/>
  <c r="P14" i="12"/>
  <c r="M15" i="12"/>
  <c r="N14" i="12"/>
  <c r="J15" i="12"/>
  <c r="I21" i="5" l="1"/>
  <c r="H13" i="7"/>
  <c r="I13" i="7" s="1"/>
  <c r="J13" i="7" s="1"/>
  <c r="G14" i="7"/>
  <c r="J22" i="5"/>
  <c r="K22" i="5" s="1"/>
  <c r="G23" i="5"/>
  <c r="H22" i="5"/>
  <c r="I22" i="5" s="1"/>
  <c r="P15" i="12"/>
  <c r="M16" i="12"/>
  <c r="N15" i="12"/>
  <c r="J16" i="12"/>
  <c r="H23" i="5" l="1"/>
  <c r="I23" i="5" s="1"/>
  <c r="J23" i="5"/>
  <c r="K23" i="5" s="1"/>
  <c r="G24" i="5"/>
  <c r="G15" i="7"/>
  <c r="H14" i="7"/>
  <c r="I14" i="7" s="1"/>
  <c r="J14" i="7" s="1"/>
  <c r="P16" i="12"/>
  <c r="M17" i="12"/>
  <c r="N16" i="12"/>
  <c r="J17" i="12"/>
  <c r="H24" i="5" l="1"/>
  <c r="I24" i="5" s="1"/>
  <c r="J24" i="5"/>
  <c r="K24" i="5" s="1"/>
  <c r="B11" i="5" s="1"/>
  <c r="B12" i="5" s="1"/>
  <c r="G25" i="5"/>
  <c r="G16" i="7"/>
  <c r="H15" i="7"/>
  <c r="I15" i="7"/>
  <c r="J15" i="7" s="1"/>
  <c r="P17" i="12"/>
  <c r="M18" i="12"/>
  <c r="N17" i="12"/>
  <c r="J18" i="12"/>
  <c r="H16" i="7" l="1"/>
  <c r="I16" i="7"/>
  <c r="J16" i="7" s="1"/>
  <c r="G17" i="7"/>
  <c r="J25" i="5"/>
  <c r="K25" i="5" s="1"/>
  <c r="G26" i="5"/>
  <c r="H25" i="5"/>
  <c r="I25" i="5" s="1"/>
  <c r="P18" i="12"/>
  <c r="M19" i="12"/>
  <c r="N18" i="12"/>
  <c r="J19" i="12"/>
  <c r="H17" i="7" l="1"/>
  <c r="I17" i="7" s="1"/>
  <c r="J17" i="7" s="1"/>
  <c r="G18" i="7"/>
  <c r="J26" i="5"/>
  <c r="K26" i="5" s="1"/>
  <c r="G27" i="5"/>
  <c r="H26" i="5"/>
  <c r="I26" i="5" s="1"/>
  <c r="P19" i="12"/>
  <c r="M20" i="12"/>
  <c r="N19" i="12"/>
  <c r="J20" i="12"/>
  <c r="G19" i="7" l="1"/>
  <c r="H18" i="7"/>
  <c r="I18" i="7" s="1"/>
  <c r="J18" i="7" s="1"/>
  <c r="H27" i="5"/>
  <c r="I27" i="5" s="1"/>
  <c r="J27" i="5"/>
  <c r="K27" i="5" s="1"/>
  <c r="G28" i="5"/>
  <c r="P20" i="12"/>
  <c r="M21" i="12"/>
  <c r="N20" i="12"/>
  <c r="J21" i="12"/>
  <c r="H28" i="5" l="1"/>
  <c r="I28" i="5" s="1"/>
  <c r="J28" i="5"/>
  <c r="K28" i="5" s="1"/>
  <c r="G29" i="5"/>
  <c r="G20" i="7"/>
  <c r="H19" i="7"/>
  <c r="I19" i="7" s="1"/>
  <c r="J19" i="7" s="1"/>
  <c r="P21" i="12"/>
  <c r="M22" i="12"/>
  <c r="N21" i="12"/>
  <c r="J22" i="12"/>
  <c r="H20" i="7" l="1"/>
  <c r="I20" i="7" s="1"/>
  <c r="J20" i="7" s="1"/>
  <c r="G21" i="7"/>
  <c r="J29" i="5"/>
  <c r="K29" i="5" s="1"/>
  <c r="H29" i="5"/>
  <c r="P22" i="12"/>
  <c r="M23" i="12"/>
  <c r="N22" i="12"/>
  <c r="J23" i="12"/>
  <c r="H21" i="7" l="1"/>
  <c r="I21" i="7" s="1"/>
  <c r="J21" i="7" s="1"/>
  <c r="G22" i="7"/>
  <c r="I29" i="5"/>
  <c r="B13" i="5"/>
  <c r="P23" i="12"/>
  <c r="M24" i="12"/>
  <c r="N23" i="12"/>
  <c r="J24" i="12"/>
  <c r="Q4" i="12" l="1"/>
  <c r="R4" i="12" s="1"/>
  <c r="G23" i="7"/>
  <c r="H22" i="7"/>
  <c r="I22" i="7" s="1"/>
  <c r="J22" i="7" s="1"/>
  <c r="P24" i="12"/>
  <c r="M25" i="12"/>
  <c r="N24" i="12"/>
  <c r="J25" i="12"/>
  <c r="Q5" i="12" l="1"/>
  <c r="R5" i="12" s="1"/>
  <c r="G24" i="7"/>
  <c r="H23" i="7"/>
  <c r="I23" i="7"/>
  <c r="J23" i="7" s="1"/>
  <c r="P25" i="12"/>
  <c r="M26" i="12"/>
  <c r="N25" i="12"/>
  <c r="J26" i="12"/>
  <c r="Q6" i="12" l="1"/>
  <c r="R6" i="12" s="1"/>
  <c r="H24" i="7"/>
  <c r="I24" i="7"/>
  <c r="J24" i="7" s="1"/>
  <c r="G25" i="7"/>
  <c r="P26" i="12"/>
  <c r="M27" i="12"/>
  <c r="N26" i="12"/>
  <c r="J27" i="12"/>
  <c r="Q7" i="12" l="1"/>
  <c r="R7" i="12" s="1"/>
  <c r="H25" i="7"/>
  <c r="I25" i="7" s="1"/>
  <c r="J25" i="7" s="1"/>
  <c r="G26" i="7"/>
  <c r="P27" i="12"/>
  <c r="M28" i="12"/>
  <c r="N27" i="12"/>
  <c r="J28" i="12"/>
  <c r="G27" i="7" l="1"/>
  <c r="H26" i="7"/>
  <c r="I26" i="7" s="1"/>
  <c r="J26" i="7" s="1"/>
  <c r="P28" i="12"/>
  <c r="M29" i="12"/>
  <c r="N28" i="12"/>
  <c r="J29" i="12"/>
  <c r="G28" i="7" l="1"/>
  <c r="H27" i="7"/>
  <c r="I27" i="7"/>
  <c r="J27" i="7" s="1"/>
  <c r="N29" i="12"/>
  <c r="M30" i="12"/>
  <c r="N30" i="12" s="1"/>
  <c r="J30" i="12"/>
  <c r="P29" i="12"/>
  <c r="H28" i="7" l="1"/>
  <c r="I28" i="7"/>
  <c r="J28" i="7" s="1"/>
  <c r="G29" i="7"/>
  <c r="M31" i="12"/>
  <c r="N31" i="12" s="1"/>
  <c r="P30" i="12"/>
  <c r="J31" i="12"/>
  <c r="J32" i="12" s="1"/>
  <c r="H29" i="7" l="1"/>
  <c r="I29" i="7" s="1"/>
  <c r="J29" i="7" s="1"/>
  <c r="B11" i="7" s="1"/>
  <c r="B12" i="7" s="1"/>
  <c r="J33" i="12"/>
  <c r="P32" i="12"/>
  <c r="M32" i="12"/>
  <c r="N32" i="12" s="1"/>
  <c r="P31" i="12"/>
  <c r="J34" i="12" l="1"/>
  <c r="P33" i="12"/>
  <c r="M33" i="12"/>
  <c r="N33" i="12" s="1"/>
  <c r="P34" i="12" l="1"/>
  <c r="J35" i="12"/>
  <c r="M34" i="12"/>
  <c r="N34" i="12" s="1"/>
  <c r="J36" i="12" l="1"/>
  <c r="F4" i="12" s="1"/>
  <c r="P35" i="12"/>
  <c r="M35" i="12"/>
  <c r="N35" i="12" s="1"/>
  <c r="F5" i="12" l="1"/>
  <c r="F6" i="12" s="1"/>
  <c r="C27" i="11"/>
  <c r="P36" i="12"/>
  <c r="M36" i="12"/>
  <c r="N36" i="12" s="1"/>
  <c r="L10" i="19" l="1"/>
  <c r="L18" i="19"/>
  <c r="F10" i="19"/>
  <c r="F18" i="19"/>
  <c r="D24" i="19" s="1"/>
  <c r="E12" i="12" s="1"/>
  <c r="L11" i="19"/>
  <c r="L19" i="19"/>
  <c r="E25" i="19" s="1"/>
  <c r="F11" i="19"/>
  <c r="F19" i="19"/>
  <c r="E24" i="19" s="1"/>
  <c r="E13" i="12" s="1"/>
  <c r="L12" i="19"/>
  <c r="L20" i="19"/>
  <c r="F12" i="19"/>
  <c r="F20" i="19"/>
  <c r="F24" i="19" s="1"/>
  <c r="L13" i="19"/>
  <c r="F13" i="19"/>
  <c r="F5" i="19"/>
  <c r="L6" i="19"/>
  <c r="L14" i="19"/>
  <c r="F6" i="19"/>
  <c r="F14" i="19"/>
  <c r="L7" i="19"/>
  <c r="L15" i="19"/>
  <c r="F7" i="19"/>
  <c r="F15" i="19"/>
  <c r="L8" i="19"/>
  <c r="L16" i="19"/>
  <c r="F8" i="19"/>
  <c r="F16" i="19"/>
  <c r="L9" i="19"/>
  <c r="L17" i="19"/>
  <c r="C25" i="19" s="1"/>
  <c r="F9" i="19"/>
  <c r="F17" i="19"/>
  <c r="C24" i="19" s="1"/>
  <c r="E11" i="12" s="1"/>
  <c r="F25" i="19"/>
  <c r="D25" i="19"/>
  <c r="C26" i="19" l="1"/>
  <c r="F26" i="19"/>
  <c r="E14" i="12"/>
  <c r="F13" i="12"/>
  <c r="E26" i="19"/>
  <c r="D26" i="19"/>
  <c r="F12" i="12" l="1"/>
  <c r="F14" i="12"/>
  <c r="F11" i="12"/>
  <c r="D29" i="12" l="1"/>
  <c r="O8" i="12" s="1"/>
  <c r="Q8" i="12" s="1"/>
  <c r="R8" i="12" s="1"/>
  <c r="O9" i="12" l="1"/>
  <c r="Q9" i="12" s="1"/>
  <c r="R9" i="12" s="1"/>
  <c r="O10" i="12" l="1"/>
  <c r="O11" i="12" s="1"/>
  <c r="Q11" i="12" s="1"/>
  <c r="R11" i="12" s="1"/>
  <c r="O12" i="12" l="1"/>
  <c r="Q12" i="12" s="1"/>
  <c r="R12" i="12" s="1"/>
  <c r="Q10" i="12"/>
  <c r="R10" i="12" s="1"/>
  <c r="O13" i="12" l="1"/>
  <c r="Q13" i="12" s="1"/>
  <c r="R13" i="12" s="1"/>
  <c r="O14" i="12" l="1"/>
  <c r="O15" i="12" s="1"/>
  <c r="Q14" i="12" l="1"/>
  <c r="R14" i="12" s="1"/>
  <c r="Q15" i="12"/>
  <c r="R15" i="12" s="1"/>
  <c r="O16" i="12"/>
  <c r="Q16" i="12" l="1"/>
  <c r="R16" i="12" s="1"/>
  <c r="O17" i="12"/>
  <c r="O18" i="12" l="1"/>
  <c r="Q17" i="12"/>
  <c r="R17" i="12" s="1"/>
  <c r="O19" i="12" l="1"/>
  <c r="Q18" i="12"/>
  <c r="R18" i="12" s="1"/>
  <c r="O20" i="12" l="1"/>
  <c r="Q19" i="12"/>
  <c r="R19" i="12" s="1"/>
  <c r="Q20" i="12" l="1"/>
  <c r="R20" i="12" s="1"/>
  <c r="O21" i="12"/>
  <c r="Q21" i="12" l="1"/>
  <c r="R21" i="12" s="1"/>
  <c r="O22" i="12"/>
  <c r="Q22" i="12" l="1"/>
  <c r="R22" i="12" s="1"/>
  <c r="O23" i="12"/>
  <c r="Q23" i="12" l="1"/>
  <c r="R23" i="12" s="1"/>
  <c r="O24" i="12"/>
  <c r="Q24" i="12" l="1"/>
  <c r="R24" i="12" s="1"/>
  <c r="O25" i="12"/>
  <c r="O26" i="12" l="1"/>
  <c r="Q25" i="12"/>
  <c r="R25" i="12" s="1"/>
  <c r="Q26" i="12" l="1"/>
  <c r="R26" i="12" s="1"/>
  <c r="O27" i="12"/>
  <c r="O28" i="12" l="1"/>
  <c r="Q27" i="12"/>
  <c r="R27" i="12" s="1"/>
  <c r="Q28" i="12" l="1"/>
  <c r="R28" i="12" s="1"/>
  <c r="O29" i="12"/>
  <c r="O30" i="12" l="1"/>
  <c r="Q29" i="12"/>
  <c r="R29" i="12" s="1"/>
  <c r="Q30" i="12" l="1"/>
  <c r="R30" i="12" s="1"/>
  <c r="O31" i="12"/>
  <c r="O32" i="12" l="1"/>
  <c r="Q31" i="12"/>
  <c r="R31" i="12" s="1"/>
  <c r="O33" i="12" l="1"/>
  <c r="Q32" i="12"/>
  <c r="R32" i="12" s="1"/>
  <c r="O34" i="12" l="1"/>
  <c r="Q33" i="12"/>
  <c r="R33" i="12" s="1"/>
  <c r="O35" i="12" l="1"/>
  <c r="Q34" i="12"/>
  <c r="R34" i="12" s="1"/>
  <c r="Q35" i="12" l="1"/>
  <c r="R35" i="12" s="1"/>
  <c r="O36" i="12"/>
  <c r="Q36" i="12" s="1"/>
  <c r="R36" i="12" s="1"/>
  <c r="R37" i="12" l="1"/>
  <c r="C39" i="11" s="1"/>
</calcChain>
</file>

<file path=xl/sharedStrings.xml><?xml version="1.0" encoding="utf-8"?>
<sst xmlns="http://schemas.openxmlformats.org/spreadsheetml/2006/main" count="453" uniqueCount="284">
  <si>
    <t>Project Information</t>
  </si>
  <si>
    <t>Assumptions</t>
  </si>
  <si>
    <t>Base Year</t>
  </si>
  <si>
    <t>Discount Rate</t>
  </si>
  <si>
    <t>Vehicle Occupancy</t>
  </si>
  <si>
    <t>Name:</t>
  </si>
  <si>
    <t>ID Number:</t>
  </si>
  <si>
    <t>New HOV?</t>
  </si>
  <si>
    <t>Value of Travel Time (VoTT)</t>
  </si>
  <si>
    <t>With Project</t>
  </si>
  <si>
    <t>Control Values</t>
  </si>
  <si>
    <t>YES</t>
  </si>
  <si>
    <t>NO</t>
  </si>
  <si>
    <t>Year</t>
  </si>
  <si>
    <t>Facility V/C Ratio</t>
  </si>
  <si>
    <t>Interim Calculations</t>
  </si>
  <si>
    <t>Annual Days of Travel</t>
  </si>
  <si>
    <t>Delay B/C Ratio</t>
  </si>
  <si>
    <t>BCA Results</t>
  </si>
  <si>
    <t>Daily System/Facility Data</t>
  </si>
  <si>
    <t>Annual VHT Savings</t>
  </si>
  <si>
    <t>Common Values:</t>
  </si>
  <si>
    <t>Delay Analysis Values:</t>
  </si>
  <si>
    <t>Emissions Reduction Values:</t>
  </si>
  <si>
    <t>Base Year for Analysis</t>
  </si>
  <si>
    <t>Real Discount Rate</t>
  </si>
  <si>
    <t>Applicable Project Life</t>
  </si>
  <si>
    <t>See Texas Guide to Accepted Mobile Source Emission Reduction Strategies (MOSER), page A.8.9</t>
  </si>
  <si>
    <r>
      <t xml:space="preserve">VOC emissions factor, </t>
    </r>
    <r>
      <rPr>
        <b/>
        <u/>
        <sz val="11"/>
        <color theme="1"/>
        <rFont val="Calibri"/>
        <family val="2"/>
        <scheme val="minor"/>
      </rPr>
      <t>Ped/Bike Projects Only</t>
    </r>
    <r>
      <rPr>
        <sz val="11"/>
        <color theme="1"/>
        <rFont val="Calibri"/>
        <family val="2"/>
        <scheme val="minor"/>
      </rPr>
      <t xml:space="preserve"> (g/VMT)</t>
    </r>
  </si>
  <si>
    <r>
      <t xml:space="preserve">NOx emissions factor, </t>
    </r>
    <r>
      <rPr>
        <b/>
        <u/>
        <sz val="11"/>
        <color theme="1"/>
        <rFont val="Calibri"/>
        <family val="2"/>
        <scheme val="minor"/>
      </rPr>
      <t>Ped/Bike Projects Only</t>
    </r>
    <r>
      <rPr>
        <sz val="11"/>
        <color theme="1"/>
        <rFont val="Calibri"/>
        <family val="2"/>
        <scheme val="minor"/>
      </rPr>
      <t xml:space="preserve"> (g/VMT)</t>
    </r>
  </si>
  <si>
    <t>VOC Emissions Factor (g/mi)</t>
  </si>
  <si>
    <t>Nox Emissions Factor (g/mi)</t>
  </si>
  <si>
    <t>Emissions Reduction Estimates</t>
  </si>
  <si>
    <t>VMT Reduced (Daily)</t>
  </si>
  <si>
    <t>AND</t>
  </si>
  <si>
    <t>OR</t>
  </si>
  <si>
    <t>Project Life (see MOSER page A.8.9)</t>
  </si>
  <si>
    <t>Bike/Ped or LCI?</t>
  </si>
  <si>
    <t>VOC Emissions Reduced (metric tons/yr)</t>
  </si>
  <si>
    <t>NOx Emissions Reduced (metric tons/yr)</t>
  </si>
  <si>
    <t>NOx Reduced (tonnes/yr)</t>
  </si>
  <si>
    <t>VOC Reduced (tonnes/year)</t>
  </si>
  <si>
    <t>IDAS Vehicle Occupancy</t>
  </si>
  <si>
    <t>Annual VHT Reduction (Vehicles)</t>
  </si>
  <si>
    <t>Annual PHT Reduction (IDAS)</t>
  </si>
  <si>
    <t>Discounted Delay Benefits (2015 $, '000s)</t>
  </si>
  <si>
    <t>Year Open to Traffic?</t>
  </si>
  <si>
    <t>Total Cost (2015 $, '000s)</t>
  </si>
  <si>
    <t>Federal Funding Req. (2015 $, '000s)</t>
  </si>
  <si>
    <t>Value of Delay Savings (2013 $, '000s)</t>
  </si>
  <si>
    <t>Value of VOC Savings (2013 $, '000s)</t>
  </si>
  <si>
    <t>Value of NOx Savings (2013 $, '000s)</t>
  </si>
  <si>
    <t>Discounted Emissions Benefits (2015 $, '000s)</t>
  </si>
  <si>
    <t>Annualized Cost Effectiveness (2015 $, '000s/tonne)</t>
  </si>
  <si>
    <t>Volatile Organic Compounds (VOCs), $ / metric ton (2015 $)</t>
  </si>
  <si>
    <t>Nitrogen oxides (NOx), $ / metric ton (2015 $)</t>
  </si>
  <si>
    <t>Years to include in BCA Analysis</t>
  </si>
  <si>
    <t>Safety Analysis Values:</t>
  </si>
  <si>
    <t>Values for non-fatal injuries provided in "Value of Statistical Life" tab.</t>
  </si>
  <si>
    <t>Daily Travel Demand</t>
  </si>
  <si>
    <t>Use in Analysis?</t>
  </si>
  <si>
    <t>Demand Growth</t>
  </si>
  <si>
    <t>Benefit Cap</t>
  </si>
  <si>
    <t>Real wage growth rate</t>
  </si>
  <si>
    <t>n/a</t>
  </si>
  <si>
    <t>Benefit Results</t>
  </si>
  <si>
    <t>INPUTS</t>
  </si>
  <si>
    <t>OUTPUTS</t>
  </si>
  <si>
    <t>Service Life (years):</t>
  </si>
  <si>
    <t>Appropriate Crash Reduction Factor (%):</t>
  </si>
  <si>
    <t>Volatile Organic Compounds (VOCs), $ / metric ton (2018 $)</t>
  </si>
  <si>
    <t>Nitrogen oxides (NOx), $ / metric ton (2018 $)</t>
  </si>
  <si>
    <t>Value of Travel Time (VoTT), 2018 $</t>
  </si>
  <si>
    <t>Limits (From)</t>
  </si>
  <si>
    <t>Limits (To)</t>
  </si>
  <si>
    <t>Length (in Miles)</t>
  </si>
  <si>
    <t>County</t>
  </si>
  <si>
    <t>Harris</t>
  </si>
  <si>
    <t>Facility Type</t>
  </si>
  <si>
    <t>Non-Freeway</t>
  </si>
  <si>
    <t>K</t>
  </si>
  <si>
    <t>A</t>
  </si>
  <si>
    <t>B</t>
  </si>
  <si>
    <t>C</t>
  </si>
  <si>
    <t>Volume</t>
  </si>
  <si>
    <t>2045 V/C Ratio</t>
  </si>
  <si>
    <t>2045 Peak Period Capacity</t>
  </si>
  <si>
    <t>Savings Discounted @ 7% ($ 000')</t>
  </si>
  <si>
    <t>Project Title:</t>
  </si>
  <si>
    <t>Street Name:</t>
  </si>
  <si>
    <t>Work Code</t>
  </si>
  <si>
    <t>Work Type (TxDOT HSIP)</t>
  </si>
  <si>
    <t>Crash Reduction Factor</t>
  </si>
  <si>
    <t>Add Left Turn Lane</t>
  </si>
  <si>
    <t>Add Right Turn Lane</t>
  </si>
  <si>
    <t>Add Through Lane</t>
  </si>
  <si>
    <t>Close Crossover</t>
  </si>
  <si>
    <t>Construct Interchange</t>
  </si>
  <si>
    <r>
      <t>Construct Paved Shoulders (</t>
    </r>
    <r>
      <rPr>
        <u/>
        <sz val="11"/>
        <color theme="1"/>
        <rFont val="Calibri"/>
        <family val="2"/>
        <scheme val="minor"/>
      </rPr>
      <t>&gt;</t>
    </r>
    <r>
      <rPr>
        <sz val="11"/>
        <color theme="1"/>
        <rFont val="Calibri"/>
        <family val="2"/>
        <scheme val="minor"/>
      </rPr>
      <t xml:space="preserve"> 5ft)</t>
    </r>
  </si>
  <si>
    <t>Construct Paved Shoulders (1 – 4 ft.)</t>
  </si>
  <si>
    <t>Construct Pedestrian Over/Under Pass</t>
  </si>
  <si>
    <t>Construct Turn Arounds</t>
  </si>
  <si>
    <t>Convert 2-Lane Facility to 4-Lane Divided</t>
  </si>
  <si>
    <t>Convert to One-Way Frontage Roads</t>
  </si>
  <si>
    <t>Flatten Side Slope</t>
  </si>
  <si>
    <t>Grade Separation</t>
  </si>
  <si>
    <t>Improve Horizontal Alignment</t>
  </si>
  <si>
    <t>Improve Pedestrian Signals</t>
  </si>
  <si>
    <t>Improve School Zone</t>
  </si>
  <si>
    <t>Improve Traffic Signals</t>
  </si>
  <si>
    <t>Improve Vertical Alignment</t>
  </si>
  <si>
    <t>Increase Superelevation</t>
  </si>
  <si>
    <t>Increase Turning Radius</t>
  </si>
  <si>
    <t>Install Advance Warning Signals (Curve)</t>
  </si>
  <si>
    <t>Install Advance Warning Signals (Intersection — Existing Signal, Flashing Beacon or STOP Signs)</t>
  </si>
  <si>
    <t>Install Advance Warning Signals and Signs</t>
  </si>
  <si>
    <t>Install Advance Warning Signals and Signs (Curve)</t>
  </si>
  <si>
    <t>Install Advance Warning Signals and Signs (Intersection — Existing Signal, Flashing Beacon or STOP Signs)</t>
  </si>
  <si>
    <t>Install Advance Warning Signs (Curve — Existing Warning Signals)</t>
  </si>
  <si>
    <t>Install Advance Warning Signs (Intersection — Existing Warning Signals</t>
  </si>
  <si>
    <t>Install Centerline Striping</t>
  </si>
  <si>
    <t>Install Continuous Turn Lane</t>
  </si>
  <si>
    <t>Install Delineators</t>
  </si>
  <si>
    <t>Install Edge Marking</t>
  </si>
  <si>
    <t>Install Impact Attenuation System</t>
  </si>
  <si>
    <t>Install Intersection Flashing Beacon</t>
  </si>
  <si>
    <t>Install Median Barrier</t>
  </si>
  <si>
    <t>Install Passing Lanes on 2-Lane Road</t>
  </si>
  <si>
    <t>Install Pavement Markings</t>
  </si>
  <si>
    <t>Install Pedestrian Crosswalk</t>
  </si>
  <si>
    <t>Install Pedestrian Signal</t>
  </si>
  <si>
    <t>Install Raised Median</t>
  </si>
  <si>
    <t>Install School Zones</t>
  </si>
  <si>
    <t>Install Sidewalks</t>
  </si>
  <si>
    <t>Install Traffic Signal</t>
  </si>
  <si>
    <t>Install Warning/Guide Signs</t>
  </si>
  <si>
    <t>Interconnect Signals</t>
  </si>
  <si>
    <t>Lengthen Left Turn Lane</t>
  </si>
  <si>
    <t>Lengthen Right Turn Lane</t>
  </si>
  <si>
    <t>Replace Flashing Beacon with a Traffic Signal</t>
  </si>
  <si>
    <t>Resurfacing</t>
  </si>
  <si>
    <t>Safety Lighting</t>
  </si>
  <si>
    <t>Safety Lighting at Intersection</t>
  </si>
  <si>
    <t>Safety Treat Fixed Objects</t>
  </si>
  <si>
    <t>Widen Bridge</t>
  </si>
  <si>
    <t>Widen Lane(s)</t>
  </si>
  <si>
    <t>Widen Paved Shoulder (to 5 ft. or less)</t>
  </si>
  <si>
    <t>Widen Paved Shoulders (to &gt; 5 ft.)</t>
  </si>
  <si>
    <t>Work Type Code</t>
  </si>
  <si>
    <t>Proposed Improvements Information</t>
  </si>
  <si>
    <t>2018 Call For Projects - Benefit-Cost Analysis Assumptions*</t>
  </si>
  <si>
    <t>Data entered by the sponsors</t>
  </si>
  <si>
    <t>Benefits calculated by the template</t>
  </si>
  <si>
    <t>Safety Improvement Type</t>
  </si>
  <si>
    <t>Crash Savings in Year Open to Traffic</t>
  </si>
  <si>
    <t>HGAC regional travel demand model data provided by HGAC upon request</t>
  </si>
  <si>
    <t>Service life</t>
  </si>
  <si>
    <t>Estimate 2045 Peak Period Traffic Volume</t>
  </si>
  <si>
    <t>2016 -2020 Crash Data</t>
  </si>
  <si>
    <t>Total Fatalities</t>
  </si>
  <si>
    <t>Total Injury</t>
  </si>
  <si>
    <t>Motorist Fatalities</t>
  </si>
  <si>
    <t>Pedestrian Fatalities</t>
  </si>
  <si>
    <t>Cyclist Fatalities</t>
  </si>
  <si>
    <t>Estimated 2030 Peak Period Traffic Volume</t>
  </si>
  <si>
    <t>2030 Peak Period Capacity</t>
  </si>
  <si>
    <t>Preventable Crash Type</t>
  </si>
  <si>
    <t>Preventable Crash types</t>
  </si>
  <si>
    <t>Vehicle Movements/Manner of Collision, Roadway
Related</t>
  </si>
  <si>
    <t xml:space="preserve">Intersection Related </t>
  </si>
  <si>
    <t>Intersection Related</t>
  </si>
  <si>
    <t>Intersection Related, Vehicle Movements/Manner of
Collision</t>
  </si>
  <si>
    <t>Pedestrian, Cyclist</t>
  </si>
  <si>
    <t>All</t>
  </si>
  <si>
    <t>Roadway Related</t>
  </si>
  <si>
    <t>Roadway Related, Dark light condition</t>
  </si>
  <si>
    <t>Intersection Related, Vehicle Movements/Manner of
Collision, Pedestrian, Cyclist</t>
  </si>
  <si>
    <t>Vehicle Movements/Manner of Collision</t>
  </si>
  <si>
    <t>Roadway Related,Vehicle Movements/Manner of Collision</t>
  </si>
  <si>
    <t>Roadway Related, Vehicle Movements/Manner of Collision</t>
  </si>
  <si>
    <t>Pedestrian</t>
  </si>
  <si>
    <t>Part of Roadway No. 1 Involved, (Vehicle Movements/Manner
of Collision</t>
  </si>
  <si>
    <t>Object Struck</t>
  </si>
  <si>
    <t>Roadway Related,  Vehicle Movements/Manner of Collision</t>
  </si>
  <si>
    <t>Surface Condition</t>
  </si>
  <si>
    <t>Light Condition - Dark</t>
  </si>
  <si>
    <t>Light Condition - Dark, Interscection Related</t>
  </si>
  <si>
    <t>Roadway Related/Off road</t>
  </si>
  <si>
    <t>Roadway Related, Vehicle Movements/Manner of Collision =</t>
  </si>
  <si>
    <t>Intersection Related, Vehicle Movements/Manner of Collision</t>
  </si>
  <si>
    <t>Part of Roadway Involved, Vehicle Movements/Manner of Collision</t>
  </si>
  <si>
    <t>Vehicle Movements/Manner of Collision, Intersection Related</t>
  </si>
  <si>
    <t>Part of Roadway Involved</t>
  </si>
  <si>
    <t>Milled Edgeline Rumble Strips</t>
  </si>
  <si>
    <t>Profile Edgeline Markings</t>
  </si>
  <si>
    <t>Roadway Related, Vehicle Movements/Manner of Collision, Surface condition - wet, slush, ice, snow</t>
  </si>
  <si>
    <t xml:space="preserve">Raised Edgeline Rumble Strips </t>
  </si>
  <si>
    <t>Value of Injuries, US DOT BCA Guidance for Discretionary Grant Programs (2021)</t>
  </si>
  <si>
    <t>2020-2030 Demand Growth</t>
  </si>
  <si>
    <t>2030-2045 Demand Growth</t>
  </si>
  <si>
    <t>2020-2045 Demand Growth</t>
  </si>
  <si>
    <t>2020 V/C Ratio</t>
  </si>
  <si>
    <t>2030 V/C Ratio</t>
  </si>
  <si>
    <r>
      <t xml:space="preserve">Year Open to Traffic? </t>
    </r>
    <r>
      <rPr>
        <b/>
        <sz val="11"/>
        <color theme="1"/>
        <rFont val="Calibri"/>
        <family val="2"/>
        <scheme val="minor"/>
      </rPr>
      <t>(Must be &gt;=2025)</t>
    </r>
  </si>
  <si>
    <t>Buffalo Speedway</t>
  </si>
  <si>
    <t>Vehicle Movements/Manner of Collision (Roadway related)</t>
  </si>
  <si>
    <t>Install Overhead Signs</t>
  </si>
  <si>
    <t xml:space="preserve">Install LED Flashing Chevrons (Curve) </t>
  </si>
  <si>
    <t>Install Chevrons</t>
  </si>
  <si>
    <t>Install Flashing Yellow Arrow</t>
  </si>
  <si>
    <t xml:space="preserve">Install Surface Mounted Delineators on Centerline </t>
  </si>
  <si>
    <t xml:space="preserve">Intersection Related, Vehicle Movements/Manner of
Collision, </t>
  </si>
  <si>
    <t xml:space="preserve">Roadway Related or Surface Condition </t>
  </si>
  <si>
    <t>High Friction Surface Treatment (Curve)</t>
  </si>
  <si>
    <t>High Friction Surface Treatment (Intersection)</t>
  </si>
  <si>
    <t>Provide Additional Paved Surface Width</t>
  </si>
  <si>
    <t>Milled Centerline Rumble Strips</t>
  </si>
  <si>
    <t>Profile Centerline Markings</t>
  </si>
  <si>
    <t>Construct a Roundabout</t>
  </si>
  <si>
    <t>Transverse Rumble Strips</t>
  </si>
  <si>
    <t>Raised Centerline Rumble Strips</t>
  </si>
  <si>
    <t>Potential Value of Crash Savings</t>
  </si>
  <si>
    <t>Value of Crash Savings ($000')</t>
  </si>
  <si>
    <t>Source: https://ftp.txdot.gov/pub/txdot-info/trf/hsip/hsip-guidance-june-2020.pdf</t>
  </si>
  <si>
    <t>Preventable Crash types (HSIP guidelines)</t>
  </si>
  <si>
    <t>INTERSECTION RELATED CRASHES</t>
  </si>
  <si>
    <t>Motorist Serious Injuries</t>
  </si>
  <si>
    <t>Motorist Non-Serious Injuries</t>
  </si>
  <si>
    <t>Motorist Possible Injuries</t>
  </si>
  <si>
    <t>Pedestrian Non-Serious Injuries</t>
  </si>
  <si>
    <t>Pedestrian Serious Injuries</t>
  </si>
  <si>
    <t>Pedestrian Possible Injuries</t>
  </si>
  <si>
    <t>Cyclist Serious Injuries</t>
  </si>
  <si>
    <t>Cyclist Non-Serious Injuries</t>
  </si>
  <si>
    <t>Cyclist possible Injuries</t>
  </si>
  <si>
    <t>Average Annual  Crashes</t>
  </si>
  <si>
    <t>Total Serious Injuries</t>
  </si>
  <si>
    <t>Total Non-Serious Injuries</t>
  </si>
  <si>
    <t>Total Possible Injuries</t>
  </si>
  <si>
    <t>Estimated Preventable Crashes Without Improvement  in Year Open to Traffic</t>
  </si>
  <si>
    <t>KABCO Level</t>
  </si>
  <si>
    <t>No Injury</t>
  </si>
  <si>
    <t>Possible Injury</t>
  </si>
  <si>
    <t xml:space="preserve">Non-incapacitating (Non-Serious) </t>
  </si>
  <si>
    <t>Incapacitating (Serious)</t>
  </si>
  <si>
    <t>Killed (Fatality)</t>
  </si>
  <si>
    <t>Monetized value ($2019)</t>
  </si>
  <si>
    <t>0 - No Injury</t>
  </si>
  <si>
    <t>C -  Possible Injury</t>
  </si>
  <si>
    <t xml:space="preserve">A - Incapacitating (Serious) </t>
  </si>
  <si>
    <t>K - Killed (Fatal)</t>
  </si>
  <si>
    <t>Monetized value ($2021)*</t>
  </si>
  <si>
    <t>* 2019 value inflated at 4% for 2 years</t>
  </si>
  <si>
    <t>Estimated Preventable Crashes reduced  in Year Open to Traffic</t>
  </si>
  <si>
    <t>Discounted Safety Benefits @ 7% (2021 $, '000s)</t>
  </si>
  <si>
    <t>Intersection Crashes (5 Years)</t>
  </si>
  <si>
    <t>Non-Intersection Related Crashes (5 Years)</t>
  </si>
  <si>
    <t>NON-INTERSECTION RELATED CRASHES</t>
  </si>
  <si>
    <t>2021 Peak Period Capacity</t>
  </si>
  <si>
    <t>Richmond Ave</t>
  </si>
  <si>
    <t>Weslayan St</t>
  </si>
  <si>
    <t>Value of Statistical Life (VSL), 2021 $</t>
  </si>
  <si>
    <t>Calculated based on data entered by sponsor</t>
  </si>
  <si>
    <t>*Preventable Crashes are those with defined characteristics that may be affected by the proposed improvement.</t>
  </si>
  <si>
    <t>HGAC regional crash data provided by HGAC upon request</t>
  </si>
  <si>
    <r>
      <t>B - Non</t>
    </r>
    <r>
      <rPr>
        <sz val="11"/>
        <color rgb="FFFF0000"/>
        <rFont val="Calibri"/>
        <family val="2"/>
        <scheme val="minor"/>
      </rPr>
      <t>-</t>
    </r>
    <r>
      <rPr>
        <sz val="11"/>
        <color theme="1"/>
        <rFont val="Calibri"/>
        <family val="2"/>
        <scheme val="minor"/>
      </rPr>
      <t>Incapacitating (Non-Serious)</t>
    </r>
  </si>
  <si>
    <t xml:space="preserve">Average  Annual  Crash Forecast without Improvement in Year Open to Traffic </t>
  </si>
  <si>
    <t xml:space="preserve">Average  Annual  Crash Forecast without improvement in Year Open to Traffic </t>
  </si>
  <si>
    <t>Estimated Crashes Without Improvement in Year Open to Traffic</t>
  </si>
  <si>
    <t>Non-Intersection related (Roadway Related)</t>
  </si>
  <si>
    <t>Potential Crash Savings in Year Open to Traffic</t>
  </si>
  <si>
    <t>MPOID Number (RTP ID)/CSJ Number (TxDOT ID#):</t>
  </si>
  <si>
    <t>Application ID Number (Auto generated in CFP online form):</t>
  </si>
  <si>
    <t xml:space="preserve">2021 Peak Period Traffic Volume </t>
  </si>
  <si>
    <t>2021 Volume (AADT)</t>
  </si>
  <si>
    <t>Estimated traffic volume (AADT) in year Open to Traffic</t>
  </si>
  <si>
    <t>2021  Crash Rate per 1 million VMT</t>
  </si>
  <si>
    <t>20201  Crash Rate per 1 million VMT</t>
  </si>
  <si>
    <t>Travel Demand</t>
  </si>
  <si>
    <t>Year Open to Traffic</t>
  </si>
  <si>
    <t xml:space="preserve">Estimated Daily VMT </t>
  </si>
  <si>
    <t xml:space="preserve">Annual VMT </t>
  </si>
  <si>
    <t>Estimated Traffic Volume</t>
  </si>
  <si>
    <t>Number of Days Considered in a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</si>
</sst>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8" formatCode="&quot;$&quot;#,##0.00_);[Red]\(&quot;$&quot;#,##0.00\)"/>
    <numFmt numFmtId="44" formatCode="_(&quot;$&quot;* #,##0.00_);_(&quot;$&quot;* \(#,##0.00\);_(&quot;$&quot;* &quot;-&quot;??_);_(@_)"/>
    <numFmt numFmtId="164" formatCode="&quot;$&quot;#,##0.00"/>
    <numFmt numFmtId="165" formatCode="&quot;$&quot;#,##0"/>
    <numFmt numFmtId="166" formatCode="0.000"/>
    <numFmt numFmtId="167" formatCode="0.000000"/>
    <numFmt numFmtId="168" formatCode="#,##0.000000"/>
    <numFmt numFmtId="169" formatCode="0.0%"/>
    <numFmt numFmtId="170" formatCode="0.000%"/>
    <numFmt numFmtId="171" formatCode="0.00000"/>
    <numFmt numFmtId="172" formatCode="0.0"/>
    <numFmt numFmtId="173" formatCode="0.0000"/>
  </numFmts>
  <fonts count="2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i/>
      <sz val="11"/>
      <color theme="1"/>
      <name val="Calibri"/>
      <family val="2"/>
      <scheme val="minor"/>
    </font>
    <font>
      <u/>
      <sz val="11"/>
      <color theme="1"/>
      <name val="Calibri"/>
      <family val="2"/>
      <scheme val="minor"/>
    </font>
    <font>
      <b/>
      <u/>
      <sz val="11"/>
      <color theme="1"/>
      <name val="Calibri"/>
      <family val="2"/>
      <scheme val="minor"/>
    </font>
    <font>
      <i/>
      <sz val="11"/>
      <color theme="1"/>
      <name val="Calibri"/>
      <family val="2"/>
      <scheme val="minor"/>
    </font>
    <font>
      <i/>
      <sz val="11"/>
      <color theme="0"/>
      <name val="Calibri"/>
      <family val="2"/>
      <scheme val="minor"/>
    </font>
    <font>
      <u/>
      <sz val="11"/>
      <color theme="10"/>
      <name val="Calibri"/>
      <family val="2"/>
    </font>
    <font>
      <b/>
      <u/>
      <sz val="11"/>
      <color theme="0"/>
      <name val="Calibri"/>
      <family val="2"/>
      <scheme val="minor"/>
    </font>
    <font>
      <b/>
      <sz val="14"/>
      <color theme="1"/>
      <name val="Calibri"/>
      <family val="2"/>
      <scheme val="minor"/>
    </font>
    <font>
      <sz val="11"/>
      <name val="Calibri"/>
      <family val="2"/>
      <scheme val="minor"/>
    </font>
    <font>
      <sz val="11"/>
      <color theme="0"/>
      <name val="Calibri"/>
      <family val="2"/>
      <scheme val="minor"/>
    </font>
    <font>
      <sz val="12"/>
      <color theme="1"/>
      <name val="Times New Roman"/>
      <family val="1"/>
    </font>
    <font>
      <sz val="10"/>
      <color rgb="FF000000"/>
      <name val="Arial"/>
      <family val="2"/>
    </font>
    <font>
      <b/>
      <sz val="11"/>
      <name val="Calibri"/>
      <family val="2"/>
      <scheme val="minor"/>
    </font>
    <font>
      <sz val="11"/>
      <color rgb="FF0070C0"/>
      <name val="Calibri"/>
      <family val="2"/>
      <scheme val="minor"/>
    </font>
    <font>
      <sz val="11"/>
      <color rgb="FFFF0000"/>
      <name val="Calibri"/>
      <family val="2"/>
      <scheme val="minor"/>
    </font>
    <font>
      <sz val="12"/>
      <name val="Times New Roman"/>
      <family val="1"/>
    </font>
  </fonts>
  <fills count="17">
    <fill>
      <patternFill patternType="none"/>
    </fill>
    <fill>
      <patternFill patternType="gray125"/>
    </fill>
    <fill>
      <patternFill patternType="solid">
        <fgColor theme="4" tint="0.79998168889431442"/>
        <bgColor indexed="64"/>
      </patternFill>
    </fill>
    <fill>
      <patternFill patternType="solid">
        <fgColor theme="4"/>
        <bgColor indexed="64"/>
      </patternFill>
    </fill>
    <fill>
      <patternFill patternType="solid">
        <fgColor theme="5" tint="0.79998168889431442"/>
        <bgColor indexed="64"/>
      </patternFill>
    </fill>
    <fill>
      <patternFill patternType="solid">
        <fgColor theme="5"/>
        <bgColor indexed="64"/>
      </patternFill>
    </fill>
    <fill>
      <patternFill patternType="solid">
        <fgColor theme="0" tint="-4.9989318521683403E-2"/>
        <bgColor theme="8" tint="0.79998168889431442"/>
      </patternFill>
    </fill>
    <fill>
      <patternFill patternType="solid">
        <fgColor theme="0" tint="-0.14999847407452621"/>
        <bgColor theme="8" tint="0.79998168889431442"/>
      </patternFill>
    </fill>
    <fill>
      <patternFill patternType="solid">
        <fgColor theme="0" tint="-0.14999847407452621"/>
        <bgColor theme="8" tint="0.59999389629810485"/>
      </patternFill>
    </fill>
    <fill>
      <patternFill patternType="solid">
        <fgColor theme="1" tint="0.3499862666707357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tint="0.59999389629810485"/>
        <bgColor theme="8" tint="0.79998168889431442"/>
      </patternFill>
    </fill>
    <fill>
      <patternFill patternType="solid">
        <fgColor theme="6" tint="0.39997558519241921"/>
        <bgColor indexed="64"/>
      </patternFill>
    </fill>
    <fill>
      <patternFill patternType="solid">
        <fgColor theme="9" tint="0.79998168889431442"/>
        <bgColor indexed="64"/>
      </patternFill>
    </fill>
    <fill>
      <patternFill patternType="solid">
        <fgColor theme="6" tint="-0.499984740745262"/>
        <bgColor indexed="64"/>
      </patternFill>
    </fill>
    <fill>
      <patternFill patternType="solid">
        <fgColor theme="7"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alignment vertical="top"/>
      <protection locked="0"/>
    </xf>
    <xf numFmtId="0" fontId="15" fillId="0" borderId="0"/>
  </cellStyleXfs>
  <cellXfs count="259">
    <xf numFmtId="0" fontId="0" fillId="0" borderId="0" xfId="0"/>
    <xf numFmtId="0" fontId="3" fillId="0" borderId="0" xfId="0" applyFont="1"/>
    <xf numFmtId="0" fontId="4" fillId="0" borderId="0" xfId="0" applyFont="1"/>
    <xf numFmtId="0" fontId="0" fillId="0" borderId="0" xfId="0" applyProtection="1"/>
    <xf numFmtId="0" fontId="0" fillId="2" borderId="1" xfId="0" applyFill="1" applyBorder="1"/>
    <xf numFmtId="0" fontId="0" fillId="2" borderId="1" xfId="0" applyFill="1" applyBorder="1" applyProtection="1">
      <protection locked="0"/>
    </xf>
    <xf numFmtId="0" fontId="2" fillId="3" borderId="1" xfId="0" applyFont="1" applyFill="1" applyBorder="1"/>
    <xf numFmtId="0" fontId="8" fillId="3" borderId="1" xfId="0" applyFont="1" applyFill="1" applyBorder="1" applyAlignment="1">
      <alignment horizontal="center"/>
    </xf>
    <xf numFmtId="3" fontId="0" fillId="2" borderId="1" xfId="0" applyNumberFormat="1" applyFill="1" applyBorder="1" applyProtection="1">
      <protection locked="0"/>
    </xf>
    <xf numFmtId="0" fontId="0" fillId="4" borderId="1" xfId="0" applyFill="1" applyBorder="1"/>
    <xf numFmtId="0" fontId="2" fillId="5" borderId="1" xfId="0" applyFont="1" applyFill="1" applyBorder="1"/>
    <xf numFmtId="0" fontId="0" fillId="6" borderId="1" xfId="0" applyFont="1" applyFill="1" applyBorder="1" applyAlignment="1">
      <alignment horizontal="center"/>
    </xf>
    <xf numFmtId="0" fontId="0" fillId="8" borderId="1" xfId="0" applyFont="1" applyFill="1" applyBorder="1" applyAlignment="1">
      <alignment horizontal="center"/>
    </xf>
    <xf numFmtId="0" fontId="2" fillId="9" borderId="1" xfId="0" applyFont="1" applyFill="1" applyBorder="1" applyAlignment="1">
      <alignment horizontal="center"/>
    </xf>
    <xf numFmtId="0" fontId="2" fillId="9" borderId="1" xfId="0" applyFont="1" applyFill="1" applyBorder="1" applyAlignment="1">
      <alignment horizontal="left"/>
    </xf>
    <xf numFmtId="0" fontId="0" fillId="11" borderId="1" xfId="0" applyFill="1" applyBorder="1"/>
    <xf numFmtId="9" fontId="0" fillId="11" borderId="1" xfId="0" applyNumberFormat="1" applyFill="1" applyBorder="1"/>
    <xf numFmtId="164" fontId="0" fillId="11" borderId="1" xfId="0" applyNumberFormat="1" applyFill="1" applyBorder="1"/>
    <xf numFmtId="0" fontId="0" fillId="11" borderId="2" xfId="0" applyFill="1" applyBorder="1"/>
    <xf numFmtId="3" fontId="0" fillId="11" borderId="3" xfId="0" applyNumberFormat="1" applyFill="1" applyBorder="1"/>
    <xf numFmtId="3" fontId="0" fillId="12" borderId="1" xfId="0" applyNumberFormat="1" applyFont="1" applyFill="1" applyBorder="1" applyAlignment="1" applyProtection="1">
      <alignment horizontal="center"/>
      <protection locked="0"/>
    </xf>
    <xf numFmtId="0" fontId="0" fillId="2" borderId="1" xfId="0" applyFill="1" applyBorder="1" applyAlignment="1"/>
    <xf numFmtId="165" fontId="0" fillId="2" borderId="1" xfId="0" applyNumberFormat="1" applyFill="1" applyBorder="1" applyProtection="1">
      <protection locked="0"/>
    </xf>
    <xf numFmtId="0" fontId="8" fillId="9" borderId="1" xfId="0" applyFont="1" applyFill="1" applyBorder="1" applyAlignment="1">
      <alignment horizontal="center"/>
    </xf>
    <xf numFmtId="0" fontId="0" fillId="0" borderId="0" xfId="0" applyAlignment="1">
      <alignment vertical="top"/>
    </xf>
    <xf numFmtId="0" fontId="0" fillId="11" borderId="1" xfId="0" applyNumberFormat="1" applyFill="1" applyBorder="1"/>
    <xf numFmtId="0" fontId="0" fillId="0" borderId="0" xfId="0" applyFill="1" applyBorder="1"/>
    <xf numFmtId="9" fontId="0" fillId="0" borderId="0" xfId="0" applyNumberFormat="1" applyFill="1" applyBorder="1"/>
    <xf numFmtId="0" fontId="3" fillId="0" borderId="0" xfId="0" applyFont="1" applyFill="1" applyBorder="1"/>
    <xf numFmtId="0" fontId="0" fillId="0" borderId="1" xfId="0" applyFill="1" applyBorder="1" applyAlignment="1">
      <alignment vertical="top"/>
    </xf>
    <xf numFmtId="167" fontId="0" fillId="0" borderId="1" xfId="0" applyNumberFormat="1" applyBorder="1" applyAlignment="1">
      <alignment vertical="top"/>
    </xf>
    <xf numFmtId="164" fontId="0" fillId="0" borderId="1" xfId="0" applyNumberFormat="1" applyFill="1" applyBorder="1" applyAlignment="1">
      <alignment vertical="top"/>
    </xf>
    <xf numFmtId="168" fontId="0" fillId="11" borderId="3" xfId="0" applyNumberFormat="1" applyFill="1" applyBorder="1"/>
    <xf numFmtId="164" fontId="0" fillId="6" borderId="1" xfId="1" applyNumberFormat="1" applyFont="1" applyFill="1" applyBorder="1" applyAlignment="1">
      <alignment horizontal="center"/>
    </xf>
    <xf numFmtId="165" fontId="0" fillId="11" borderId="1" xfId="0" applyNumberFormat="1" applyFill="1" applyBorder="1"/>
    <xf numFmtId="164" fontId="0" fillId="6" borderId="1" xfId="1" applyNumberFormat="1" applyFont="1" applyFill="1" applyBorder="1" applyAlignment="1" applyProtection="1">
      <alignment horizontal="center"/>
    </xf>
    <xf numFmtId="167" fontId="0" fillId="12" borderId="1" xfId="0" applyNumberFormat="1" applyFont="1" applyFill="1" applyBorder="1" applyAlignment="1" applyProtection="1">
      <alignment horizontal="center"/>
      <protection locked="0"/>
    </xf>
    <xf numFmtId="164" fontId="0" fillId="7" borderId="1" xfId="1" applyNumberFormat="1" applyFont="1" applyFill="1" applyBorder="1" applyAlignment="1" applyProtection="1">
      <alignment horizontal="center"/>
    </xf>
    <xf numFmtId="164" fontId="0" fillId="4" borderId="1" xfId="0" applyNumberFormat="1" applyFill="1" applyBorder="1"/>
    <xf numFmtId="2" fontId="0" fillId="4" borderId="1" xfId="0" applyNumberFormat="1" applyFill="1" applyBorder="1"/>
    <xf numFmtId="164" fontId="0" fillId="8" borderId="1" xfId="1" applyNumberFormat="1" applyFont="1" applyFill="1" applyBorder="1" applyAlignment="1">
      <alignment horizontal="center"/>
    </xf>
    <xf numFmtId="165" fontId="0" fillId="4" borderId="1" xfId="0" applyNumberFormat="1" applyFill="1" applyBorder="1"/>
    <xf numFmtId="167" fontId="0" fillId="11" borderId="1" xfId="0" applyNumberFormat="1" applyFill="1" applyBorder="1" applyProtection="1">
      <protection locked="0"/>
    </xf>
    <xf numFmtId="4" fontId="0" fillId="2" borderId="1" xfId="0" applyNumberFormat="1" applyFill="1" applyBorder="1" applyProtection="1">
      <protection locked="0"/>
    </xf>
    <xf numFmtId="0" fontId="0" fillId="2" borderId="1" xfId="0" applyNumberFormat="1" applyFill="1" applyBorder="1" applyProtection="1">
      <protection locked="0"/>
    </xf>
    <xf numFmtId="9" fontId="0" fillId="0" borderId="1" xfId="0" applyNumberFormat="1" applyFill="1" applyBorder="1" applyAlignment="1">
      <alignment horizontal="right" vertical="top"/>
    </xf>
    <xf numFmtId="0" fontId="0" fillId="0" borderId="1" xfId="0" applyBorder="1"/>
    <xf numFmtId="0" fontId="0" fillId="0" borderId="1" xfId="0" applyFill="1" applyBorder="1"/>
    <xf numFmtId="169" fontId="0" fillId="0" borderId="1" xfId="2" applyNumberFormat="1" applyFont="1" applyFill="1" applyBorder="1"/>
    <xf numFmtId="0" fontId="9" fillId="0" borderId="1" xfId="3" applyBorder="1" applyAlignment="1" applyProtection="1">
      <alignment horizontal="right" vertical="top" wrapText="1"/>
    </xf>
    <xf numFmtId="6" fontId="0" fillId="0" borderId="1" xfId="0" applyNumberFormat="1" applyFill="1" applyBorder="1" applyAlignment="1">
      <alignment vertical="top"/>
    </xf>
    <xf numFmtId="0" fontId="0" fillId="0" borderId="1" xfId="0" applyNumberFormat="1" applyFill="1" applyBorder="1" applyAlignment="1">
      <alignment vertical="top"/>
    </xf>
    <xf numFmtId="165" fontId="0" fillId="0" borderId="1" xfId="0" applyNumberFormat="1" applyFill="1" applyBorder="1" applyAlignment="1">
      <alignment vertical="top"/>
    </xf>
    <xf numFmtId="8" fontId="0" fillId="0" borderId="0" xfId="0" applyNumberFormat="1"/>
    <xf numFmtId="0" fontId="0" fillId="0" borderId="0" xfId="0" applyBorder="1"/>
    <xf numFmtId="6" fontId="0" fillId="0" borderId="0" xfId="0" applyNumberFormat="1" applyBorder="1"/>
    <xf numFmtId="0" fontId="3" fillId="10" borderId="1" xfId="0" applyFont="1" applyFill="1" applyBorder="1" applyAlignment="1">
      <alignment vertical="center"/>
    </xf>
    <xf numFmtId="0" fontId="0" fillId="0" borderId="1" xfId="0" applyFont="1" applyBorder="1" applyAlignment="1">
      <alignment vertical="center"/>
    </xf>
    <xf numFmtId="0" fontId="0" fillId="0" borderId="1" xfId="0" applyFont="1" applyBorder="1" applyAlignment="1">
      <alignment vertical="center" wrapText="1"/>
    </xf>
    <xf numFmtId="0" fontId="0" fillId="0" borderId="0" xfId="0" applyFill="1" applyBorder="1" applyAlignment="1">
      <alignment vertical="top"/>
    </xf>
    <xf numFmtId="9" fontId="7" fillId="0" borderId="0" xfId="0" applyNumberFormat="1" applyFont="1" applyFill="1" applyBorder="1" applyAlignment="1">
      <alignment horizontal="right" vertical="top"/>
    </xf>
    <xf numFmtId="10" fontId="7" fillId="0" borderId="0" xfId="0" applyNumberFormat="1" applyFont="1" applyFill="1" applyBorder="1" applyAlignment="1">
      <alignment horizontal="right" vertical="top"/>
    </xf>
    <xf numFmtId="0" fontId="0" fillId="0" borderId="0" xfId="0" applyFill="1"/>
    <xf numFmtId="10" fontId="0" fillId="0" borderId="0" xfId="0" applyNumberFormat="1"/>
    <xf numFmtId="172" fontId="0" fillId="0" borderId="0" xfId="0" applyNumberFormat="1"/>
    <xf numFmtId="0" fontId="0" fillId="0" borderId="1" xfId="0" applyFont="1" applyBorder="1" applyAlignment="1">
      <alignment horizontal="center" vertical="center"/>
    </xf>
    <xf numFmtId="9" fontId="0" fillId="0" borderId="1" xfId="0" applyNumberFormat="1" applyFont="1" applyFill="1" applyBorder="1" applyAlignment="1">
      <alignment horizontal="center" vertical="center"/>
    </xf>
    <xf numFmtId="0" fontId="3" fillId="0" borderId="0" xfId="0" applyFont="1" applyBorder="1"/>
    <xf numFmtId="0" fontId="14" fillId="0" borderId="0" xfId="0" applyFont="1" applyAlignment="1" applyProtection="1">
      <alignment vertical="center"/>
    </xf>
    <xf numFmtId="2" fontId="0" fillId="0" borderId="0" xfId="0" applyNumberFormat="1" applyProtection="1"/>
    <xf numFmtId="10" fontId="0" fillId="0" borderId="0" xfId="2" applyNumberFormat="1" applyFont="1" applyProtection="1"/>
    <xf numFmtId="0" fontId="0" fillId="0" borderId="0" xfId="0" applyNumberFormat="1" applyProtection="1"/>
    <xf numFmtId="0" fontId="2" fillId="3" borderId="1" xfId="0" applyFont="1" applyFill="1" applyBorder="1" applyAlignment="1">
      <alignment vertical="center" wrapText="1"/>
    </xf>
    <xf numFmtId="0" fontId="0" fillId="0" borderId="1" xfId="0" applyBorder="1" applyAlignment="1">
      <alignment wrapText="1"/>
    </xf>
    <xf numFmtId="0" fontId="0" fillId="0" borderId="1" xfId="0" applyBorder="1" applyAlignment="1">
      <alignment horizontal="center" vertical="center"/>
    </xf>
    <xf numFmtId="0" fontId="0" fillId="0" borderId="1" xfId="0" applyBorder="1" applyAlignment="1">
      <alignment vertical="center" wrapText="1"/>
    </xf>
    <xf numFmtId="0" fontId="0" fillId="0" borderId="1" xfId="0" applyBorder="1" applyAlignment="1">
      <alignment vertical="center"/>
    </xf>
    <xf numFmtId="0" fontId="0" fillId="0" borderId="1" xfId="0" applyFont="1" applyFill="1" applyBorder="1" applyAlignment="1">
      <alignment vertical="center"/>
    </xf>
    <xf numFmtId="0" fontId="0" fillId="0" borderId="1" xfId="0" applyFont="1" applyFill="1" applyBorder="1" applyAlignment="1">
      <alignment horizontal="center" vertical="center"/>
    </xf>
    <xf numFmtId="9" fontId="0" fillId="0" borderId="1" xfId="0" applyNumberFormat="1" applyFont="1" applyFill="1" applyBorder="1" applyAlignment="1">
      <alignment horizontal="center" vertical="center" wrapText="1"/>
    </xf>
    <xf numFmtId="0" fontId="0" fillId="0" borderId="1" xfId="0" applyFill="1" applyBorder="1" applyAlignment="1">
      <alignment horizontal="center" vertical="center"/>
    </xf>
    <xf numFmtId="0" fontId="0" fillId="5" borderId="1" xfId="0" applyFont="1" applyFill="1" applyBorder="1" applyAlignment="1">
      <alignment vertical="center"/>
    </xf>
    <xf numFmtId="0" fontId="0" fillId="5" borderId="1" xfId="0" applyFont="1" applyFill="1" applyBorder="1" applyAlignment="1">
      <alignment horizontal="center" vertical="center"/>
    </xf>
    <xf numFmtId="9" fontId="0" fillId="5" borderId="1" xfId="0" applyNumberFormat="1" applyFont="1" applyFill="1" applyBorder="1" applyAlignment="1">
      <alignment horizontal="center" vertical="center"/>
    </xf>
    <xf numFmtId="0" fontId="0" fillId="5" borderId="1" xfId="0" applyFill="1" applyBorder="1" applyAlignment="1">
      <alignment horizontal="center" vertical="center"/>
    </xf>
    <xf numFmtId="0" fontId="0" fillId="0" borderId="0" xfId="0" applyAlignment="1" applyProtection="1">
      <alignment vertical="center"/>
    </xf>
    <xf numFmtId="0" fontId="2" fillId="9" borderId="1" xfId="0" applyFont="1" applyFill="1" applyBorder="1" applyAlignment="1" applyProtection="1">
      <alignment horizontal="center" vertical="center"/>
    </xf>
    <xf numFmtId="10" fontId="2" fillId="9" borderId="1" xfId="2" applyNumberFormat="1" applyFont="1" applyFill="1" applyBorder="1" applyAlignment="1" applyProtection="1">
      <alignment horizontal="center" vertical="center"/>
    </xf>
    <xf numFmtId="2" fontId="2" fillId="9" borderId="1" xfId="0" applyNumberFormat="1" applyFont="1" applyFill="1" applyBorder="1" applyAlignment="1" applyProtection="1">
      <alignment horizontal="center" vertical="center"/>
    </xf>
    <xf numFmtId="0" fontId="2" fillId="9" borderId="1" xfId="0" applyNumberFormat="1" applyFont="1" applyFill="1" applyBorder="1" applyAlignment="1" applyProtection="1">
      <alignment horizontal="center" vertical="center"/>
    </xf>
    <xf numFmtId="0" fontId="0" fillId="7" borderId="1" xfId="0" applyFont="1" applyFill="1" applyBorder="1" applyAlignment="1" applyProtection="1">
      <alignment horizontal="center" vertical="center"/>
    </xf>
    <xf numFmtId="10" fontId="0" fillId="7" borderId="1" xfId="2" applyNumberFormat="1" applyFont="1" applyFill="1" applyBorder="1" applyAlignment="1" applyProtection="1">
      <alignment horizontal="center" vertical="center"/>
    </xf>
    <xf numFmtId="2" fontId="0" fillId="7" borderId="1" xfId="0" applyNumberFormat="1" applyFont="1" applyFill="1" applyBorder="1" applyAlignment="1" applyProtection="1">
      <alignment horizontal="center" vertical="center"/>
    </xf>
    <xf numFmtId="0" fontId="0" fillId="7" borderId="1" xfId="0" applyNumberFormat="1" applyFont="1" applyFill="1" applyBorder="1" applyAlignment="1" applyProtection="1">
      <alignment horizontal="center" vertical="center"/>
    </xf>
    <xf numFmtId="3" fontId="0" fillId="7" borderId="1" xfId="0" applyNumberFormat="1" applyFont="1" applyFill="1" applyBorder="1" applyAlignment="1" applyProtection="1">
      <alignment horizontal="center" vertical="center"/>
    </xf>
    <xf numFmtId="0" fontId="0" fillId="8" borderId="1" xfId="0" applyFont="1" applyFill="1" applyBorder="1" applyAlignment="1" applyProtection="1">
      <alignment horizontal="center" vertical="center"/>
    </xf>
    <xf numFmtId="10" fontId="0" fillId="8" borderId="1" xfId="2" applyNumberFormat="1" applyFont="1" applyFill="1" applyBorder="1" applyAlignment="1" applyProtection="1">
      <alignment horizontal="center" vertical="center"/>
    </xf>
    <xf numFmtId="2" fontId="0" fillId="8" borderId="1" xfId="2" applyNumberFormat="1" applyFont="1" applyFill="1" applyBorder="1" applyAlignment="1" applyProtection="1">
      <alignment horizontal="center" vertical="center"/>
    </xf>
    <xf numFmtId="0" fontId="0" fillId="8" borderId="1" xfId="2" applyNumberFormat="1" applyFont="1" applyFill="1" applyBorder="1" applyAlignment="1" applyProtection="1">
      <alignment horizontal="center" vertical="center"/>
    </xf>
    <xf numFmtId="6" fontId="0" fillId="0" borderId="0" xfId="0" applyNumberFormat="1" applyBorder="1" applyAlignment="1" applyProtection="1">
      <alignment vertical="center"/>
    </xf>
    <xf numFmtId="0" fontId="0" fillId="0" borderId="1" xfId="0" applyBorder="1" applyAlignment="1" applyProtection="1">
      <alignment vertical="center"/>
    </xf>
    <xf numFmtId="171" fontId="0" fillId="0" borderId="0" xfId="0" applyNumberFormat="1" applyAlignment="1" applyProtection="1">
      <alignment vertical="center"/>
    </xf>
    <xf numFmtId="10" fontId="0" fillId="0" borderId="1" xfId="2" applyNumberFormat="1" applyFont="1" applyBorder="1" applyAlignment="1" applyProtection="1">
      <alignment vertical="center"/>
    </xf>
    <xf numFmtId="2" fontId="0" fillId="0" borderId="1" xfId="0" applyNumberFormat="1" applyBorder="1" applyAlignment="1" applyProtection="1">
      <alignment vertical="center"/>
    </xf>
    <xf numFmtId="0" fontId="0" fillId="0" borderId="1" xfId="0" applyNumberFormat="1" applyBorder="1" applyAlignment="1" applyProtection="1">
      <alignment vertical="center"/>
    </xf>
    <xf numFmtId="0" fontId="11" fillId="0" borderId="4" xfId="0" applyFont="1" applyBorder="1" applyAlignment="1">
      <alignment vertical="center"/>
    </xf>
    <xf numFmtId="0" fontId="0" fillId="0" borderId="4" xfId="0" applyBorder="1" applyAlignment="1">
      <alignment vertical="center"/>
    </xf>
    <xf numFmtId="0" fontId="0" fillId="0" borderId="4" xfId="0" applyFill="1" applyBorder="1" applyAlignment="1">
      <alignment vertical="center"/>
    </xf>
    <xf numFmtId="0" fontId="0" fillId="0" borderId="0" xfId="0" applyAlignment="1">
      <alignment vertical="center"/>
    </xf>
    <xf numFmtId="0" fontId="2" fillId="3" borderId="1" xfId="0" applyFont="1" applyFill="1" applyBorder="1" applyAlignment="1">
      <alignment vertical="center"/>
    </xf>
    <xf numFmtId="0" fontId="0" fillId="0" borderId="0" xfId="0" applyFill="1" applyAlignment="1">
      <alignment vertical="center"/>
    </xf>
    <xf numFmtId="0" fontId="0" fillId="2" borderId="1" xfId="0" applyFill="1" applyBorder="1" applyAlignment="1">
      <alignment vertical="center"/>
    </xf>
    <xf numFmtId="0" fontId="0" fillId="2" borderId="1" xfId="0" applyFill="1" applyBorder="1" applyAlignment="1" applyProtection="1">
      <alignment horizontal="right" vertical="center" wrapText="1"/>
      <protection locked="0"/>
    </xf>
    <xf numFmtId="0" fontId="0" fillId="0" borderId="0" xfId="0" applyFill="1" applyBorder="1" applyAlignment="1" applyProtection="1">
      <alignment vertical="center" wrapText="1"/>
      <protection locked="0"/>
    </xf>
    <xf numFmtId="0" fontId="0" fillId="13" borderId="1" xfId="0" applyFill="1" applyBorder="1" applyAlignment="1">
      <alignment vertical="center"/>
    </xf>
    <xf numFmtId="0" fontId="0" fillId="2" borderId="1" xfId="0" applyFill="1" applyBorder="1" applyAlignment="1" applyProtection="1">
      <alignment horizontal="right" vertical="center"/>
      <protection locked="0"/>
    </xf>
    <xf numFmtId="0" fontId="0" fillId="0" borderId="0" xfId="0" applyFill="1" applyBorder="1" applyAlignment="1" applyProtection="1">
      <alignment vertical="center"/>
      <protection locked="0"/>
    </xf>
    <xf numFmtId="0" fontId="0" fillId="14" borderId="1" xfId="0" applyFill="1" applyBorder="1" applyAlignment="1">
      <alignment vertical="center"/>
    </xf>
    <xf numFmtId="0" fontId="0" fillId="4" borderId="1" xfId="0" applyFill="1" applyBorder="1" applyAlignment="1">
      <alignment vertical="center"/>
    </xf>
    <xf numFmtId="0" fontId="0" fillId="0" borderId="0" xfId="0" applyFill="1" applyBorder="1" applyAlignment="1" applyProtection="1">
      <alignment horizontal="left" vertical="center"/>
      <protection locked="0"/>
    </xf>
    <xf numFmtId="0" fontId="0" fillId="0" borderId="0" xfId="0" applyFill="1" applyBorder="1" applyAlignment="1">
      <alignment vertical="center"/>
    </xf>
    <xf numFmtId="0" fontId="0" fillId="2" borderId="1" xfId="0" applyNumberFormat="1" applyFill="1" applyBorder="1" applyAlignment="1" applyProtection="1">
      <alignment horizontal="right" vertical="center"/>
      <protection locked="0"/>
    </xf>
    <xf numFmtId="0" fontId="0" fillId="0" borderId="0" xfId="0" applyFill="1" applyBorder="1" applyAlignment="1">
      <alignment vertical="center" wrapText="1"/>
    </xf>
    <xf numFmtId="0" fontId="0" fillId="14" borderId="1" xfId="0" applyFill="1" applyBorder="1" applyAlignment="1" applyProtection="1">
      <alignment horizontal="right" vertical="center"/>
    </xf>
    <xf numFmtId="9" fontId="0" fillId="0" borderId="0" xfId="0" applyNumberFormat="1" applyFill="1" applyBorder="1" applyAlignment="1" applyProtection="1">
      <alignment vertical="center"/>
      <protection locked="0"/>
    </xf>
    <xf numFmtId="9" fontId="0" fillId="14" borderId="1" xfId="0" applyNumberFormat="1" applyFill="1" applyBorder="1" applyAlignment="1" applyProtection="1">
      <alignment horizontal="right" vertical="center"/>
    </xf>
    <xf numFmtId="0" fontId="0" fillId="0" borderId="0" xfId="0" applyNumberFormat="1" applyFill="1" applyBorder="1" applyAlignment="1" applyProtection="1">
      <alignment vertical="center"/>
      <protection locked="0"/>
    </xf>
    <xf numFmtId="167" fontId="0" fillId="0" borderId="0" xfId="0" applyNumberFormat="1" applyAlignment="1">
      <alignment vertical="center"/>
    </xf>
    <xf numFmtId="0" fontId="2" fillId="3" borderId="6" xfId="0" applyFont="1" applyFill="1" applyBorder="1" applyAlignment="1">
      <alignment vertical="center"/>
    </xf>
    <xf numFmtId="0" fontId="8" fillId="0" borderId="0" xfId="0" applyFont="1" applyFill="1" applyBorder="1" applyAlignment="1">
      <alignment horizontal="center" vertical="center"/>
    </xf>
    <xf numFmtId="3" fontId="0" fillId="2" borderId="1" xfId="0" applyNumberFormat="1" applyFill="1" applyBorder="1" applyAlignment="1" applyProtection="1">
      <alignment vertical="center"/>
      <protection locked="0"/>
    </xf>
    <xf numFmtId="3" fontId="0" fillId="0" borderId="0" xfId="0" applyNumberFormat="1" applyFill="1" applyBorder="1" applyAlignment="1" applyProtection="1">
      <alignment vertical="center"/>
      <protection locked="0"/>
    </xf>
    <xf numFmtId="2" fontId="0" fillId="0" borderId="0" xfId="0" applyNumberFormat="1" applyAlignment="1">
      <alignment vertical="center"/>
    </xf>
    <xf numFmtId="3" fontId="0" fillId="13" borderId="1" xfId="0" applyNumberFormat="1" applyFill="1" applyBorder="1" applyAlignment="1" applyProtection="1">
      <alignment vertical="center"/>
      <protection locked="0"/>
    </xf>
    <xf numFmtId="3" fontId="7" fillId="13" borderId="1" xfId="0" applyNumberFormat="1" applyFont="1" applyFill="1" applyBorder="1" applyAlignment="1" applyProtection="1">
      <alignment vertical="center"/>
      <protection locked="0"/>
    </xf>
    <xf numFmtId="3" fontId="7" fillId="0" borderId="0" xfId="0" applyNumberFormat="1" applyFont="1" applyFill="1" applyBorder="1" applyAlignment="1" applyProtection="1">
      <alignment vertical="center"/>
      <protection locked="0"/>
    </xf>
    <xf numFmtId="3" fontId="0" fillId="0" borderId="0" xfId="0" applyNumberFormat="1" applyAlignment="1">
      <alignment vertical="center"/>
    </xf>
    <xf numFmtId="0" fontId="2" fillId="5" borderId="1" xfId="0" applyFont="1" applyFill="1" applyBorder="1" applyAlignment="1">
      <alignment vertical="center"/>
    </xf>
    <xf numFmtId="165" fontId="0" fillId="4" borderId="1" xfId="0" applyNumberFormat="1" applyFill="1" applyBorder="1" applyAlignment="1" applyProtection="1">
      <alignment vertical="center"/>
    </xf>
    <xf numFmtId="165" fontId="0" fillId="0" borderId="5" xfId="0" applyNumberFormat="1" applyFill="1" applyBorder="1" applyAlignment="1">
      <alignment vertical="center"/>
    </xf>
    <xf numFmtId="0" fontId="0" fillId="0" borderId="0" xfId="0" applyBorder="1" applyAlignment="1">
      <alignment vertical="center"/>
    </xf>
    <xf numFmtId="2" fontId="0" fillId="14" borderId="1" xfId="0" applyNumberFormat="1" applyFill="1" applyBorder="1" applyAlignment="1" applyProtection="1">
      <alignment horizontal="center" vertical="center"/>
      <protection locked="0"/>
    </xf>
    <xf numFmtId="166" fontId="0" fillId="14" borderId="1" xfId="0" applyNumberFormat="1" applyFill="1" applyBorder="1" applyAlignment="1" applyProtection="1">
      <alignment horizontal="center" vertical="center"/>
      <protection locked="0"/>
    </xf>
    <xf numFmtId="0" fontId="7" fillId="0" borderId="0" xfId="0" applyFont="1" applyAlignment="1">
      <alignment vertical="center"/>
    </xf>
    <xf numFmtId="0" fontId="0" fillId="0" borderId="1" xfId="0" applyFill="1" applyBorder="1" applyAlignment="1">
      <alignment wrapText="1"/>
    </xf>
    <xf numFmtId="0" fontId="0" fillId="0" borderId="1" xfId="0" applyFont="1" applyFill="1" applyBorder="1" applyAlignment="1">
      <alignment vertical="center" wrapText="1"/>
    </xf>
    <xf numFmtId="0" fontId="0" fillId="0" borderId="1" xfId="0" applyFont="1" applyFill="1" applyBorder="1" applyAlignment="1"/>
    <xf numFmtId="0" fontId="0" fillId="0" borderId="0" xfId="0" applyAlignment="1">
      <alignment wrapText="1"/>
    </xf>
    <xf numFmtId="0" fontId="3" fillId="10" borderId="1" xfId="0" applyFont="1" applyFill="1" applyBorder="1" applyAlignment="1">
      <alignment vertical="center" wrapText="1"/>
    </xf>
    <xf numFmtId="0" fontId="0" fillId="5" borderId="1" xfId="0" applyFill="1" applyBorder="1" applyAlignment="1">
      <alignment wrapText="1"/>
    </xf>
    <xf numFmtId="0" fontId="0" fillId="0" borderId="0" xfId="0" applyAlignment="1" applyProtection="1">
      <alignment vertical="center" wrapText="1"/>
    </xf>
    <xf numFmtId="0" fontId="2" fillId="9" borderId="1" xfId="0" applyFont="1" applyFill="1" applyBorder="1" applyAlignment="1" applyProtection="1">
      <alignment vertical="center" wrapText="1"/>
    </xf>
    <xf numFmtId="0" fontId="0" fillId="11" borderId="1" xfId="0" applyFill="1" applyBorder="1" applyAlignment="1" applyProtection="1">
      <alignment vertical="center" wrapText="1"/>
    </xf>
    <xf numFmtId="0" fontId="0" fillId="0" borderId="1" xfId="0" applyNumberFormat="1" applyFill="1" applyBorder="1" applyAlignment="1" applyProtection="1">
      <alignment vertical="center" wrapText="1"/>
    </xf>
    <xf numFmtId="0" fontId="12" fillId="0" borderId="1" xfId="0" applyFont="1" applyFill="1" applyBorder="1" applyAlignment="1" applyProtection="1">
      <alignment vertical="center" wrapText="1"/>
    </xf>
    <xf numFmtId="3" fontId="7" fillId="0" borderId="1" xfId="0" applyNumberFormat="1" applyFont="1" applyFill="1" applyBorder="1" applyAlignment="1" applyProtection="1">
      <alignment vertical="center" wrapText="1"/>
    </xf>
    <xf numFmtId="0" fontId="0" fillId="0" borderId="0" xfId="0" applyAlignment="1" applyProtection="1">
      <alignment vertical="center" wrapText="1"/>
      <protection locked="0"/>
    </xf>
    <xf numFmtId="0" fontId="2" fillId="0" borderId="0" xfId="0" applyFont="1" applyFill="1" applyBorder="1" applyAlignment="1" applyProtection="1">
      <alignment vertical="center" wrapText="1"/>
    </xf>
    <xf numFmtId="0" fontId="0" fillId="11" borderId="1" xfId="0" applyFill="1" applyBorder="1" applyAlignment="1">
      <alignment vertical="center" wrapText="1"/>
    </xf>
    <xf numFmtId="10" fontId="0" fillId="0" borderId="1" xfId="2" applyNumberFormat="1" applyFont="1" applyFill="1" applyBorder="1" applyAlignment="1" applyProtection="1">
      <alignment vertical="center" wrapText="1"/>
    </xf>
    <xf numFmtId="0" fontId="0" fillId="0" borderId="0" xfId="0" applyFill="1" applyBorder="1" applyAlignment="1" applyProtection="1">
      <alignment vertical="center" wrapText="1"/>
    </xf>
    <xf numFmtId="1" fontId="0" fillId="0" borderId="0" xfId="0" applyNumberFormat="1" applyBorder="1" applyAlignment="1" applyProtection="1">
      <alignment vertical="center" wrapText="1"/>
    </xf>
    <xf numFmtId="2" fontId="0" fillId="0" borderId="1" xfId="0" applyNumberFormat="1" applyFill="1" applyBorder="1" applyAlignment="1" applyProtection="1">
      <alignment vertical="center" wrapText="1"/>
    </xf>
    <xf numFmtId="10" fontId="0" fillId="0" borderId="0" xfId="2" applyNumberFormat="1" applyFont="1" applyFill="1" applyBorder="1" applyAlignment="1" applyProtection="1">
      <alignment vertical="center" wrapText="1"/>
    </xf>
    <xf numFmtId="4" fontId="7" fillId="0" borderId="0" xfId="0" applyNumberFormat="1" applyFont="1" applyFill="1" applyBorder="1" applyAlignment="1" applyProtection="1">
      <alignment vertical="center" wrapText="1"/>
    </xf>
    <xf numFmtId="4" fontId="3" fillId="0" borderId="0" xfId="0" applyNumberFormat="1" applyFont="1" applyFill="1" applyBorder="1" applyAlignment="1" applyProtection="1">
      <alignment vertical="center" wrapText="1"/>
    </xf>
    <xf numFmtId="3" fontId="0" fillId="8" borderId="1" xfId="0" applyNumberFormat="1" applyFont="1" applyFill="1" applyBorder="1" applyAlignment="1" applyProtection="1">
      <alignment horizontal="center" vertical="center"/>
    </xf>
    <xf numFmtId="0" fontId="2" fillId="9" borderId="7" xfId="0" applyFont="1" applyFill="1" applyBorder="1" applyAlignment="1" applyProtection="1">
      <alignment vertical="center" wrapText="1"/>
    </xf>
    <xf numFmtId="0" fontId="2" fillId="9" borderId="4" xfId="0" applyFont="1" applyFill="1" applyBorder="1" applyAlignment="1" applyProtection="1">
      <alignment vertical="center" wrapText="1"/>
    </xf>
    <xf numFmtId="0" fontId="2" fillId="3" borderId="1" xfId="0" applyFont="1" applyFill="1" applyBorder="1" applyAlignment="1">
      <alignment horizontal="left" vertical="center" wrapText="1"/>
    </xf>
    <xf numFmtId="3" fontId="7" fillId="0" borderId="0" xfId="0" applyNumberFormat="1" applyFont="1" applyFill="1" applyBorder="1" applyAlignment="1" applyProtection="1">
      <alignment vertical="center" wrapText="1"/>
    </xf>
    <xf numFmtId="173" fontId="0" fillId="0" borderId="0" xfId="0" applyNumberFormat="1" applyProtection="1"/>
    <xf numFmtId="0" fontId="2" fillId="0" borderId="0" xfId="0" applyFont="1" applyFill="1" applyBorder="1" applyAlignment="1" applyProtection="1">
      <alignment horizontal="left" vertical="center" wrapText="1"/>
    </xf>
    <xf numFmtId="0" fontId="16" fillId="0" borderId="1" xfId="0" applyFont="1" applyFill="1" applyBorder="1" applyAlignment="1">
      <alignment vertical="center" wrapText="1"/>
    </xf>
    <xf numFmtId="0" fontId="4" fillId="0" borderId="0" xfId="0" applyFont="1" applyBorder="1"/>
    <xf numFmtId="0" fontId="0" fillId="0" borderId="0" xfId="0" applyFont="1" applyBorder="1"/>
    <xf numFmtId="170" fontId="0" fillId="0" borderId="0" xfId="2" applyNumberFormat="1" applyFont="1" applyBorder="1"/>
    <xf numFmtId="170" fontId="0" fillId="0" borderId="0" xfId="0" applyNumberFormat="1" applyBorder="1"/>
    <xf numFmtId="170" fontId="4" fillId="0" borderId="0" xfId="0" applyNumberFormat="1" applyFont="1" applyBorder="1"/>
    <xf numFmtId="0" fontId="3" fillId="0" borderId="1" xfId="0" applyFont="1" applyBorder="1" applyAlignment="1">
      <alignment vertical="center"/>
    </xf>
    <xf numFmtId="6" fontId="0" fillId="0" borderId="1" xfId="0" applyNumberFormat="1" applyFill="1" applyBorder="1" applyAlignment="1">
      <alignment vertical="center"/>
    </xf>
    <xf numFmtId="0" fontId="3" fillId="0" borderId="0" xfId="0" applyFont="1" applyBorder="1" applyAlignment="1" applyProtection="1">
      <alignment vertical="center" wrapText="1"/>
    </xf>
    <xf numFmtId="0" fontId="0" fillId="0" borderId="0" xfId="0" applyBorder="1" applyAlignment="1" applyProtection="1">
      <alignment vertical="center" wrapText="1"/>
    </xf>
    <xf numFmtId="171" fontId="0" fillId="0" borderId="0" xfId="0" applyNumberFormat="1" applyBorder="1" applyAlignment="1" applyProtection="1">
      <alignment vertical="center" wrapText="1"/>
    </xf>
    <xf numFmtId="171" fontId="0" fillId="0" borderId="0" xfId="0" applyNumberFormat="1" applyFill="1" applyBorder="1" applyAlignment="1" applyProtection="1">
      <alignment vertical="center" wrapText="1"/>
    </xf>
    <xf numFmtId="0" fontId="4" fillId="0" borderId="0" xfId="0" applyFont="1" applyFill="1" applyBorder="1" applyAlignment="1">
      <alignment horizontal="center"/>
    </xf>
    <xf numFmtId="173" fontId="0" fillId="0" borderId="1" xfId="0" applyNumberFormat="1" applyBorder="1" applyAlignment="1" applyProtection="1">
      <alignment vertical="center" wrapText="1"/>
    </xf>
    <xf numFmtId="166" fontId="0" fillId="0" borderId="1" xfId="0" applyNumberFormat="1" applyBorder="1" applyAlignment="1" applyProtection="1">
      <alignment vertical="center" wrapText="1"/>
    </xf>
    <xf numFmtId="173" fontId="0" fillId="14" borderId="1" xfId="0" applyNumberFormat="1" applyFill="1" applyBorder="1" applyAlignment="1">
      <alignment vertical="center"/>
    </xf>
    <xf numFmtId="16" fontId="0" fillId="0" borderId="0" xfId="0" applyNumberFormat="1" applyAlignment="1">
      <alignment vertical="center"/>
    </xf>
    <xf numFmtId="0" fontId="0" fillId="0" borderId="0" xfId="0" applyNumberFormat="1" applyAlignment="1">
      <alignment horizontal="left" vertical="center"/>
    </xf>
    <xf numFmtId="0" fontId="0" fillId="0" borderId="0" xfId="0" quotePrefix="1" applyAlignment="1">
      <alignment vertical="center"/>
    </xf>
    <xf numFmtId="3" fontId="0" fillId="14" borderId="1" xfId="0" applyNumberFormat="1" applyFill="1" applyBorder="1" applyAlignment="1" applyProtection="1">
      <alignment vertical="center"/>
      <protection locked="0"/>
    </xf>
    <xf numFmtId="0" fontId="16" fillId="0" borderId="0" xfId="0" applyFont="1" applyFill="1" applyBorder="1" applyAlignment="1">
      <alignment vertical="center" wrapText="1"/>
    </xf>
    <xf numFmtId="173" fontId="0" fillId="0" borderId="0" xfId="0" applyNumberFormat="1" applyFill="1" applyBorder="1" applyAlignment="1" applyProtection="1">
      <alignment vertical="center" wrapText="1"/>
    </xf>
    <xf numFmtId="166" fontId="0" fillId="0" borderId="0" xfId="0" applyNumberFormat="1" applyFill="1" applyBorder="1" applyAlignment="1" applyProtection="1">
      <alignment vertical="center" wrapText="1"/>
    </xf>
    <xf numFmtId="0" fontId="0" fillId="0" borderId="1" xfId="0" applyBorder="1" applyAlignment="1">
      <alignment horizontal="left" vertical="center"/>
    </xf>
    <xf numFmtId="0" fontId="0" fillId="0" borderId="1" xfId="0" applyBorder="1" applyAlignment="1">
      <alignment horizontal="left" vertical="center" wrapText="1"/>
    </xf>
    <xf numFmtId="0" fontId="2" fillId="0" borderId="0" xfId="0" applyFont="1" applyFill="1" applyBorder="1" applyAlignment="1">
      <alignment vertical="center"/>
    </xf>
    <xf numFmtId="0" fontId="17" fillId="14" borderId="1" xfId="0" applyFont="1" applyFill="1" applyBorder="1" applyAlignment="1">
      <alignment vertical="center"/>
    </xf>
    <xf numFmtId="0" fontId="17" fillId="14" borderId="1" xfId="0" applyFont="1" applyFill="1" applyBorder="1" applyAlignment="1" applyProtection="1">
      <alignment horizontal="right" vertical="center" wrapText="1"/>
    </xf>
    <xf numFmtId="0" fontId="17" fillId="0" borderId="0" xfId="0" applyFont="1" applyAlignment="1">
      <alignment vertical="center"/>
    </xf>
    <xf numFmtId="16" fontId="17" fillId="0" borderId="0" xfId="0" applyNumberFormat="1" applyFont="1" applyAlignment="1">
      <alignment vertical="center"/>
    </xf>
    <xf numFmtId="0" fontId="0" fillId="16" borderId="1" xfId="0" applyFill="1" applyBorder="1" applyAlignment="1" applyProtection="1">
      <alignment horizontal="left" vertical="center"/>
      <protection locked="0"/>
    </xf>
    <xf numFmtId="0" fontId="0" fillId="16" borderId="1" xfId="0" applyFill="1" applyBorder="1" applyAlignment="1" applyProtection="1">
      <alignment horizontal="center" vertical="center"/>
      <protection locked="0"/>
    </xf>
    <xf numFmtId="9" fontId="18" fillId="0" borderId="0" xfId="0" applyNumberFormat="1" applyFont="1" applyFill="1" applyBorder="1" applyAlignment="1" applyProtection="1">
      <alignment vertical="center"/>
      <protection locked="0"/>
    </xf>
    <xf numFmtId="0" fontId="2" fillId="9" borderId="1" xfId="0" applyFont="1" applyFill="1" applyBorder="1" applyAlignment="1" applyProtection="1">
      <alignment horizontal="center" vertical="center" wrapText="1"/>
    </xf>
    <xf numFmtId="0" fontId="13" fillId="0" borderId="0" xfId="0" applyFont="1"/>
    <xf numFmtId="0" fontId="13" fillId="0" borderId="0" xfId="0" applyFont="1" applyAlignment="1">
      <alignment vertical="center"/>
    </xf>
    <xf numFmtId="0" fontId="12" fillId="0" borderId="0" xfId="0" applyFont="1"/>
    <xf numFmtId="0" fontId="16" fillId="10" borderId="1" xfId="0" applyFont="1" applyFill="1" applyBorder="1" applyAlignment="1">
      <alignment vertical="center"/>
    </xf>
    <xf numFmtId="0" fontId="12" fillId="0" borderId="1" xfId="0" applyFont="1" applyFill="1" applyBorder="1" applyAlignment="1">
      <alignment vertical="center" wrapText="1"/>
    </xf>
    <xf numFmtId="0" fontId="12" fillId="0" borderId="1" xfId="0" applyFont="1" applyFill="1" applyBorder="1" applyAlignment="1">
      <alignment vertical="center"/>
    </xf>
    <xf numFmtId="0" fontId="12" fillId="5" borderId="1" xfId="0" applyFont="1" applyFill="1" applyBorder="1" applyAlignment="1">
      <alignment vertical="center"/>
    </xf>
    <xf numFmtId="0" fontId="12" fillId="0" borderId="1" xfId="0" applyFont="1" applyBorder="1"/>
    <xf numFmtId="0" fontId="12" fillId="0" borderId="0" xfId="0" applyFont="1" applyProtection="1"/>
    <xf numFmtId="6" fontId="12" fillId="0" borderId="0" xfId="0" applyNumberFormat="1" applyFont="1" applyBorder="1" applyAlignment="1" applyProtection="1">
      <alignment vertical="center"/>
    </xf>
    <xf numFmtId="0" fontId="19" fillId="0" borderId="0" xfId="0" applyFont="1" applyAlignment="1" applyProtection="1">
      <alignment vertical="center"/>
    </xf>
    <xf numFmtId="0" fontId="12" fillId="8" borderId="1" xfId="0" applyFont="1" applyFill="1" applyBorder="1" applyAlignment="1" applyProtection="1">
      <alignment horizontal="center" vertical="center"/>
    </xf>
    <xf numFmtId="3" fontId="12" fillId="8" borderId="1" xfId="0" applyNumberFormat="1" applyFont="1" applyFill="1" applyBorder="1" applyAlignment="1" applyProtection="1">
      <alignment horizontal="center" vertical="center"/>
    </xf>
    <xf numFmtId="2" fontId="12" fillId="8" borderId="1" xfId="2" applyNumberFormat="1" applyFont="1" applyFill="1" applyBorder="1" applyAlignment="1" applyProtection="1">
      <alignment horizontal="center" vertical="center"/>
    </xf>
    <xf numFmtId="0" fontId="12" fillId="8" borderId="1" xfId="2" applyNumberFormat="1" applyFont="1" applyFill="1" applyBorder="1" applyAlignment="1" applyProtection="1">
      <alignment horizontal="center" vertical="center"/>
    </xf>
    <xf numFmtId="3" fontId="12" fillId="7" borderId="1" xfId="0" applyNumberFormat="1" applyFont="1" applyFill="1" applyBorder="1" applyAlignment="1" applyProtection="1">
      <alignment horizontal="center" vertical="center"/>
    </xf>
    <xf numFmtId="165" fontId="12" fillId="0" borderId="1" xfId="0" applyNumberFormat="1" applyFont="1" applyBorder="1" applyAlignment="1" applyProtection="1">
      <alignment vertical="center" wrapText="1"/>
    </xf>
    <xf numFmtId="165" fontId="0" fillId="7" borderId="1" xfId="1" applyNumberFormat="1" applyFont="1" applyFill="1" applyBorder="1" applyAlignment="1" applyProtection="1">
      <alignment horizontal="center" vertical="center"/>
    </xf>
    <xf numFmtId="165" fontId="12" fillId="7" borderId="1" xfId="1" applyNumberFormat="1" applyFont="1" applyFill="1" applyBorder="1" applyAlignment="1" applyProtection="1">
      <alignment horizontal="center" vertical="center"/>
    </xf>
    <xf numFmtId="165" fontId="0" fillId="0" borderId="1" xfId="0" applyNumberFormat="1" applyBorder="1" applyAlignment="1" applyProtection="1">
      <alignment vertical="center"/>
    </xf>
    <xf numFmtId="165" fontId="0" fillId="14" borderId="1" xfId="0" applyNumberFormat="1" applyFill="1" applyBorder="1" applyAlignment="1" applyProtection="1">
      <alignment horizontal="center" vertical="center"/>
    </xf>
    <xf numFmtId="165" fontId="12" fillId="14" borderId="1" xfId="0" applyNumberFormat="1" applyFont="1" applyFill="1" applyBorder="1" applyAlignment="1" applyProtection="1">
      <alignment horizontal="center" vertical="center"/>
    </xf>
    <xf numFmtId="0" fontId="12" fillId="13" borderId="1" xfId="0" applyFont="1" applyFill="1" applyBorder="1" applyAlignment="1">
      <alignment vertical="center"/>
    </xf>
    <xf numFmtId="3" fontId="12" fillId="13" borderId="1" xfId="0" applyNumberFormat="1" applyFont="1" applyFill="1" applyBorder="1" applyAlignment="1" applyProtection="1">
      <alignment vertical="center"/>
      <protection locked="0"/>
    </xf>
    <xf numFmtId="3" fontId="12" fillId="0" borderId="0" xfId="0" applyNumberFormat="1" applyFont="1" applyFill="1" applyBorder="1" applyAlignment="1" applyProtection="1">
      <alignment vertical="center"/>
      <protection locked="0"/>
    </xf>
    <xf numFmtId="0" fontId="12" fillId="0" borderId="0" xfId="0" applyFont="1" applyAlignment="1">
      <alignment vertical="center"/>
    </xf>
    <xf numFmtId="1" fontId="0" fillId="0" borderId="0" xfId="0" applyNumberFormat="1" applyAlignment="1">
      <alignment vertical="center"/>
    </xf>
    <xf numFmtId="3" fontId="0" fillId="0" borderId="0" xfId="0" applyNumberFormat="1"/>
    <xf numFmtId="0" fontId="12" fillId="11" borderId="1" xfId="0" applyFont="1" applyFill="1" applyBorder="1" applyAlignment="1" applyProtection="1">
      <alignment vertical="center" wrapText="1"/>
    </xf>
    <xf numFmtId="0" fontId="10" fillId="3" borderId="2" xfId="0" applyFont="1" applyFill="1" applyBorder="1" applyAlignment="1">
      <alignment horizontal="center"/>
    </xf>
    <xf numFmtId="0" fontId="10" fillId="3" borderId="3" xfId="0" applyFont="1" applyFill="1" applyBorder="1" applyAlignment="1">
      <alignment horizontal="center"/>
    </xf>
    <xf numFmtId="0" fontId="0" fillId="0" borderId="0" xfId="0" applyAlignment="1">
      <alignment horizontal="center" vertical="center"/>
    </xf>
    <xf numFmtId="0" fontId="2" fillId="3" borderId="2"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12" fillId="0" borderId="1" xfId="0" applyFont="1" applyFill="1" applyBorder="1" applyAlignment="1" applyProtection="1">
      <alignment horizontal="left" vertical="center" wrapText="1"/>
    </xf>
    <xf numFmtId="0" fontId="2" fillId="9" borderId="1" xfId="0" applyFont="1" applyFill="1" applyBorder="1" applyAlignment="1" applyProtection="1">
      <alignment horizontal="center" vertical="center" wrapText="1"/>
    </xf>
    <xf numFmtId="0" fontId="0" fillId="9" borderId="1" xfId="0" applyFill="1" applyBorder="1" applyAlignment="1" applyProtection="1">
      <alignment horizontal="center"/>
    </xf>
    <xf numFmtId="0" fontId="2" fillId="9" borderId="7" xfId="0" applyFont="1" applyFill="1" applyBorder="1" applyAlignment="1" applyProtection="1">
      <alignment horizontal="left" vertical="center" wrapText="1"/>
    </xf>
    <xf numFmtId="0" fontId="2" fillId="9" borderId="4" xfId="0" applyFont="1" applyFill="1" applyBorder="1" applyAlignment="1" applyProtection="1">
      <alignment horizontal="left" vertical="center" wrapText="1"/>
    </xf>
    <xf numFmtId="0" fontId="13" fillId="15" borderId="1" xfId="0" applyFont="1" applyFill="1" applyBorder="1" applyAlignment="1" applyProtection="1">
      <alignment horizontal="left" vertical="center" wrapText="1"/>
    </xf>
    <xf numFmtId="0" fontId="0" fillId="0" borderId="0" xfId="0" applyFill="1" applyBorder="1" applyAlignment="1" applyProtection="1">
      <alignment horizontal="center"/>
    </xf>
    <xf numFmtId="0" fontId="2" fillId="0" borderId="0" xfId="0" applyFont="1" applyFill="1" applyBorder="1" applyAlignment="1" applyProtection="1">
      <alignment horizontal="center" vertical="center" wrapText="1"/>
    </xf>
    <xf numFmtId="0" fontId="7" fillId="0" borderId="2" xfId="0" applyFont="1" applyFill="1" applyBorder="1" applyAlignment="1">
      <alignment vertical="top"/>
    </xf>
    <xf numFmtId="0" fontId="7" fillId="0" borderId="3" xfId="0" applyFont="1" applyFill="1" applyBorder="1" applyAlignment="1">
      <alignment vertical="top"/>
    </xf>
    <xf numFmtId="0" fontId="4" fillId="0" borderId="0" xfId="0" applyFont="1" applyFill="1" applyBorder="1" applyAlignment="1">
      <alignment horizont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0" fillId="0" borderId="0" xfId="0" applyFill="1" applyBorder="1" applyAlignment="1">
      <alignment horizontal="left" vertical="center"/>
    </xf>
  </cellXfs>
  <cellStyles count="5">
    <cellStyle name="Currency" xfId="1" builtinId="4"/>
    <cellStyle name="Hyperlink" xfId="3" builtinId="8"/>
    <cellStyle name="Normal" xfId="0" builtinId="0"/>
    <cellStyle name="Normal 2" xfId="4" xr:uid="{64EBEAA3-ADC4-4E1D-A009-E742316EFDDC}"/>
    <cellStyle name="Percent" xfId="2" builtinId="5"/>
  </cellStyles>
  <dxfs count="1">
    <dxf>
      <fill>
        <patternFill>
          <bgColor rgb="FFFF61FF"/>
        </patternFill>
      </fill>
    </dxf>
  </dxfs>
  <tableStyles count="0" defaultTableStyle="TableStyleMedium9" defaultPivotStyle="PivotStyleLight16"/>
  <colors>
    <mruColors>
      <color rgb="FFFF61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Drop" dropLines="2" dropStyle="combo" dx="16" fmlaLink="$B$6" fmlaRange="$A$52:$A$53" noThreeD="1" sel="1" val="0"/>
</file>

<file path=xl/ctrlProps/ctrlProp2.xml><?xml version="1.0" encoding="utf-8"?>
<formControlPr xmlns="http://schemas.microsoft.com/office/spreadsheetml/2009/9/main" objectType="Drop" dropLines="2" dropStyle="combo" dx="16" fmlaLink="$B$6" fmlaRange="$A$54:$A$55" noThreeD="1" sel="2" val="0"/>
</file>

<file path=xl/drawings/_rels/drawing4.xml.rels><?xml version="1.0" encoding="UTF-8" standalone="yes"?>
<Relationships xmlns="http://schemas.openxmlformats.org/package/2006/relationships"><Relationship Id="rId1" Type="http://schemas.openxmlformats.org/officeDocument/2006/relationships/hyperlink" Target="http://www.dot.gov/sites/dot.gov/files/docs/TIGER%20BCA%20Resource%20Guide%202014.pdf" TargetMode="External"/></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109903</xdr:rowOff>
    </xdr:from>
    <xdr:to>
      <xdr:col>12</xdr:col>
      <xdr:colOff>99391</xdr:colOff>
      <xdr:row>49</xdr:row>
      <xdr:rowOff>99391</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5250" y="109903"/>
          <a:ext cx="11053141" cy="9323988"/>
        </a:xfrm>
        <a:prstGeom prst="rect">
          <a:avLst/>
        </a:prstGeom>
        <a:solidFill>
          <a:schemeClr val="bg1">
            <a:lumMod val="95000"/>
          </a:schemeClr>
        </a:solidFill>
        <a:ln>
          <a:solidFill>
            <a:schemeClr val="accent1">
              <a:lumMod val="50000"/>
            </a:schemeClr>
          </a:solidFill>
        </a:ln>
      </xdr:spPr>
      <xdr:style>
        <a:lnRef idx="2">
          <a:schemeClr val="accent2"/>
        </a:lnRef>
        <a:fillRef idx="1">
          <a:schemeClr val="lt1"/>
        </a:fillRef>
        <a:effectRef idx="0">
          <a:schemeClr val="accent2"/>
        </a:effectRef>
        <a:fontRef idx="minor">
          <a:schemeClr val="dk1"/>
        </a:fontRef>
      </xdr:style>
      <xdr:txBody>
        <a:bodyPr vertOverflow="clip" wrap="square" rtlCol="0" anchor="t"/>
        <a:lstStyle/>
        <a:p>
          <a:pPr>
            <a:lnSpc>
              <a:spcPct val="150000"/>
            </a:lnSpc>
            <a:spcBef>
              <a:spcPts val="0"/>
            </a:spcBef>
          </a:pPr>
          <a:r>
            <a:rPr lang="en-US" sz="1100" b="1">
              <a:solidFill>
                <a:sysClr val="windowText" lastClr="000000"/>
              </a:solidFill>
              <a:latin typeface="+mn-lt"/>
            </a:rPr>
            <a:t>Instructions: </a:t>
          </a:r>
        </a:p>
        <a:p>
          <a:pPr>
            <a:lnSpc>
              <a:spcPct val="150000"/>
            </a:lnSpc>
            <a:spcBef>
              <a:spcPts val="0"/>
            </a:spcBef>
          </a:pPr>
          <a:r>
            <a:rPr lang="en-US" sz="1100" b="0">
              <a:solidFill>
                <a:sysClr val="windowText" lastClr="000000"/>
              </a:solidFill>
              <a:latin typeface="+mn-lt"/>
            </a:rPr>
            <a:t>1. On the "Inputs</a:t>
          </a:r>
          <a:r>
            <a:rPr lang="en-US" sz="1100" b="0" baseline="0">
              <a:solidFill>
                <a:sysClr val="windowText" lastClr="000000"/>
              </a:solidFill>
              <a:latin typeface="+mn-lt"/>
            </a:rPr>
            <a:t> &amp; Outputs" tab, f</a:t>
          </a:r>
          <a:r>
            <a:rPr lang="en-US" sz="1100" b="0">
              <a:solidFill>
                <a:sysClr val="windowText" lastClr="000000"/>
              </a:solidFill>
              <a:latin typeface="+mn-lt"/>
            </a:rPr>
            <a:t>ill in all "blue and green" shaded sections (Project Information, Proposed Improvement Information and Daily Travel Demand</a:t>
          </a:r>
          <a:r>
            <a:rPr lang="en-US" sz="1100" b="0" baseline="0">
              <a:solidFill>
                <a:sysClr val="windowText" lastClr="000000"/>
              </a:solidFill>
              <a:latin typeface="+mn-lt"/>
            </a:rPr>
            <a:t>). Sponsors may request assistance from HGAC to fill in the Daily Travel Demand information. </a:t>
          </a:r>
        </a:p>
        <a:p>
          <a:pPr marL="171450" indent="-171450">
            <a:buFont typeface="Arial" panose="020B0604020202020204" pitchFamily="34" charset="0"/>
            <a:buChar char="•"/>
          </a:pPr>
          <a:r>
            <a:rPr lang="en-US" sz="1100">
              <a:solidFill>
                <a:sysClr val="windowText" lastClr="000000"/>
              </a:solidFill>
              <a:effectLst/>
              <a:latin typeface="+mn-lt"/>
              <a:ea typeface="+mn-ea"/>
              <a:cs typeface="+mn-cs"/>
            </a:rPr>
            <a:t>Project Information:</a:t>
          </a:r>
        </a:p>
        <a:p>
          <a:pPr marL="171450" indent="-171450">
            <a:buFont typeface="Arial" panose="020B0604020202020204" pitchFamily="34" charset="0"/>
            <a:buChar char="•"/>
          </a:pPr>
          <a:r>
            <a:rPr lang="en-US" sz="1100">
              <a:solidFill>
                <a:sysClr val="windowText" lastClr="000000"/>
              </a:solidFill>
              <a:effectLst/>
              <a:latin typeface="+mn-lt"/>
              <a:ea typeface="+mn-ea"/>
              <a:cs typeface="+mn-cs"/>
            </a:rPr>
            <a:t>	County: Please click drop-down arrow on cell C7 to select the county.</a:t>
          </a:r>
          <a:r>
            <a:rPr lang="en-US" sz="1100" baseline="0">
              <a:solidFill>
                <a:sysClr val="windowText" lastClr="000000"/>
              </a:solidFill>
              <a:effectLst/>
              <a:latin typeface="+mn-lt"/>
              <a:ea typeface="+mn-ea"/>
              <a:cs typeface="+mn-cs"/>
            </a:rPr>
            <a:t>  </a:t>
          </a:r>
          <a:r>
            <a:rPr lang="en-US" sz="1100">
              <a:solidFill>
                <a:sysClr val="windowText" lastClr="000000"/>
              </a:solidFill>
              <a:effectLst/>
              <a:latin typeface="+mn-lt"/>
              <a:ea typeface="+mn-ea"/>
              <a:cs typeface="+mn-cs"/>
            </a:rPr>
            <a:t>If the proposed roadway project is in more than one county then select the county that contains 	majority of the project area.</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a:solidFill>
                <a:sysClr val="windowText" lastClr="000000"/>
              </a:solidFill>
              <a:effectLst/>
              <a:latin typeface="+mn-lt"/>
              <a:ea typeface="+mn-ea"/>
              <a:cs typeface="+mn-cs"/>
            </a:rPr>
            <a:t>	Facility Type: Please click the drop-down arrow  on cell C8 to select the facility type of the proposed project.</a:t>
          </a:r>
          <a:endParaRPr lang="en-US" sz="1100" b="0" baseline="0">
            <a:solidFill>
              <a:sysClr val="windowText" lastClr="000000"/>
            </a:solidFill>
            <a:latin typeface="+mn-lt"/>
          </a:endParaRPr>
        </a:p>
        <a:p>
          <a:pPr>
            <a:lnSpc>
              <a:spcPct val="150000"/>
            </a:lnSpc>
            <a:spcBef>
              <a:spcPts val="0"/>
            </a:spcBef>
          </a:pPr>
          <a:endParaRPr lang="en-US" sz="1100" b="0" baseline="0">
            <a:solidFill>
              <a:sysClr val="windowText" lastClr="000000"/>
            </a:solidFill>
            <a:latin typeface="+mn-lt"/>
          </a:endParaRPr>
        </a:p>
        <a:p>
          <a:pPr marL="171450" indent="-171450">
            <a:lnSpc>
              <a:spcPct val="150000"/>
            </a:lnSpc>
            <a:spcBef>
              <a:spcPts val="0"/>
            </a:spcBef>
            <a:buFont typeface="Arial" panose="020B0604020202020204" pitchFamily="34" charset="0"/>
            <a:buChar char="•"/>
          </a:pPr>
          <a:r>
            <a:rPr lang="en-US" sz="1100">
              <a:solidFill>
                <a:sysClr val="windowText" lastClr="000000"/>
              </a:solidFill>
              <a:effectLst/>
              <a:latin typeface="+mn-lt"/>
              <a:ea typeface="+mn-ea"/>
              <a:cs typeface="+mn-cs"/>
            </a:rPr>
            <a:t>Proposed Improvement Information:</a:t>
          </a:r>
        </a:p>
        <a:p>
          <a:pPr marL="628650" lvl="1" indent="-171450">
            <a:lnSpc>
              <a:spcPct val="150000"/>
            </a:lnSpc>
            <a:spcBef>
              <a:spcPts val="0"/>
            </a:spcBef>
            <a:buFont typeface="Arial" panose="020B0604020202020204" pitchFamily="34" charset="0"/>
            <a:buChar char="•"/>
          </a:pPr>
          <a:r>
            <a:rPr lang="en-US" sz="1100">
              <a:solidFill>
                <a:sysClr val="windowText" lastClr="000000"/>
              </a:solidFill>
              <a:effectLst/>
              <a:latin typeface="+mn-lt"/>
              <a:ea typeface="+mn-ea"/>
              <a:cs typeface="+mn-cs"/>
            </a:rPr>
            <a:t>Year Open to Traffic? Must be &gt;=2021. Please click the drop-down arrow on cell C17 to select the year</a:t>
          </a:r>
          <a:r>
            <a:rPr lang="en-US" sz="1100" baseline="0">
              <a:solidFill>
                <a:sysClr val="windowText" lastClr="000000"/>
              </a:solidFill>
              <a:effectLst/>
              <a:latin typeface="+mn-lt"/>
              <a:ea typeface="+mn-ea"/>
              <a:cs typeface="+mn-cs"/>
            </a:rPr>
            <a:t> Open to Traffic.</a:t>
          </a:r>
          <a:endParaRPr lang="en-US" sz="1100">
            <a:solidFill>
              <a:sysClr val="windowText" lastClr="000000"/>
            </a:solidFill>
            <a:effectLst/>
            <a:latin typeface="+mn-lt"/>
            <a:ea typeface="+mn-ea"/>
            <a:cs typeface="+mn-cs"/>
          </a:endParaRPr>
        </a:p>
        <a:p>
          <a:pPr marL="628650" lvl="1" indent="-171450">
            <a:lnSpc>
              <a:spcPct val="150000"/>
            </a:lnSpc>
            <a:spcBef>
              <a:spcPts val="0"/>
            </a:spcBef>
            <a:buFont typeface="Arial" panose="020B0604020202020204" pitchFamily="34" charset="0"/>
            <a:buChar char="•"/>
          </a:pPr>
          <a:r>
            <a:rPr lang="en-US" sz="1100">
              <a:solidFill>
                <a:sysClr val="windowText" lastClr="000000"/>
              </a:solidFill>
              <a:effectLst/>
              <a:latin typeface="+mn-lt"/>
              <a:ea typeface="+mn-ea"/>
              <a:cs typeface="+mn-cs"/>
            </a:rPr>
            <a:t>Safety Improvement Type:</a:t>
          </a:r>
          <a:r>
            <a:rPr lang="en-US" sz="1100" baseline="0">
              <a:solidFill>
                <a:sysClr val="windowText" lastClr="000000"/>
              </a:solidFill>
              <a:effectLst/>
              <a:latin typeface="+mn-lt"/>
              <a:ea typeface="+mn-ea"/>
              <a:cs typeface="+mn-cs"/>
            </a:rPr>
            <a:t> Please click the drop-down arrow on cell C18 to select the safety improvement type from dropdown list</a:t>
          </a:r>
          <a:r>
            <a:rPr lang="en-US" sz="1100">
              <a:solidFill>
                <a:sysClr val="windowText" lastClr="000000"/>
              </a:solidFill>
              <a:effectLst/>
              <a:latin typeface="+mn-lt"/>
              <a:ea typeface="+mn-ea"/>
              <a:cs typeface="+mn-cs"/>
            </a:rPr>
            <a:t>, if more than one safety improvement</a:t>
          </a:r>
          <a:r>
            <a:rPr lang="en-US" sz="1100" baseline="0">
              <a:solidFill>
                <a:sysClr val="windowText" lastClr="000000"/>
              </a:solidFill>
              <a:effectLst/>
              <a:latin typeface="+mn-lt"/>
              <a:ea typeface="+mn-ea"/>
              <a:cs typeface="+mn-cs"/>
            </a:rPr>
            <a:t> is being</a:t>
          </a:r>
          <a:r>
            <a:rPr lang="en-US" sz="1100">
              <a:solidFill>
                <a:sysClr val="windowText" lastClr="000000"/>
              </a:solidFill>
              <a:effectLst/>
              <a:latin typeface="+mn-lt"/>
              <a:ea typeface="+mn-ea"/>
              <a:cs typeface="+mn-cs"/>
            </a:rPr>
            <a:t> considered, please select the improvement type that results in highest crash reductions. Improvement types provided in</a:t>
          </a:r>
          <a:r>
            <a:rPr lang="en-US" sz="1100" baseline="0">
              <a:solidFill>
                <a:sysClr val="windowText" lastClr="000000"/>
              </a:solidFill>
              <a:effectLst/>
              <a:latin typeface="+mn-lt"/>
              <a:ea typeface="+mn-ea"/>
              <a:cs typeface="+mn-cs"/>
            </a:rPr>
            <a:t> the drop-down list are consistent with the </a:t>
          </a:r>
          <a:r>
            <a:rPr lang="en-US" sz="1100">
              <a:solidFill>
                <a:sysClr val="windowText" lastClr="000000"/>
              </a:solidFill>
              <a:effectLst/>
              <a:latin typeface="+mn-lt"/>
              <a:ea typeface="+mn-ea"/>
              <a:cs typeface="+mn-cs"/>
            </a:rPr>
            <a:t>TxDOT’s HSIP safety improvement work types lookup table provided in Crash Reduction Factors "CRF Lookup Table" tab.</a:t>
          </a:r>
        </a:p>
        <a:p>
          <a:pPr marL="628650" lvl="1" indent="-171450">
            <a:lnSpc>
              <a:spcPct val="150000"/>
            </a:lnSpc>
            <a:spcBef>
              <a:spcPts val="0"/>
            </a:spcBef>
            <a:buFont typeface="Arial" panose="020B0604020202020204" pitchFamily="34" charset="0"/>
            <a:buChar char="•"/>
          </a:pPr>
          <a:r>
            <a:rPr lang="en-US" sz="1100">
              <a:solidFill>
                <a:sysClr val="windowText" lastClr="000000"/>
              </a:solidFill>
              <a:effectLst/>
              <a:latin typeface="+mn-lt"/>
              <a:ea typeface="+mn-ea"/>
              <a:cs typeface="+mn-cs"/>
            </a:rPr>
            <a:t>Work Type Code: Work type code number associated with the safety improvement type will be populated based</a:t>
          </a:r>
          <a:r>
            <a:rPr lang="en-US" sz="1100" baseline="0">
              <a:solidFill>
                <a:sysClr val="windowText" lastClr="000000"/>
              </a:solidFill>
              <a:effectLst/>
              <a:latin typeface="+mn-lt"/>
              <a:ea typeface="+mn-ea"/>
              <a:cs typeface="+mn-cs"/>
            </a:rPr>
            <a:t> on the safety improvement type selected in cell C18.</a:t>
          </a:r>
          <a:endParaRPr lang="en-US" sz="1100">
            <a:solidFill>
              <a:sysClr val="windowText" lastClr="000000"/>
            </a:solidFill>
            <a:effectLst/>
            <a:latin typeface="+mn-lt"/>
            <a:ea typeface="+mn-ea"/>
            <a:cs typeface="+mn-cs"/>
          </a:endParaRPr>
        </a:p>
        <a:p>
          <a:pPr marL="628650" lvl="1" indent="-171450">
            <a:lnSpc>
              <a:spcPct val="150000"/>
            </a:lnSpc>
            <a:spcBef>
              <a:spcPts val="0"/>
            </a:spcBef>
            <a:buFont typeface="Arial" panose="020B0604020202020204" pitchFamily="34" charset="0"/>
            <a:buChar char="•"/>
          </a:pPr>
          <a:r>
            <a:rPr lang="en-US" sz="1100">
              <a:solidFill>
                <a:sysClr val="windowText" lastClr="000000"/>
              </a:solidFill>
              <a:effectLst/>
              <a:latin typeface="+mn-lt"/>
              <a:ea typeface="+mn-ea"/>
              <a:cs typeface="+mn-cs"/>
            </a:rPr>
            <a:t>Appropriate Crash Reduction Factor: Crash Reduction Factor associated with the safety improvement type will be populated based on the safety</a:t>
          </a:r>
          <a:r>
            <a:rPr lang="en-US" sz="1100" baseline="0">
              <a:solidFill>
                <a:sysClr val="windowText" lastClr="000000"/>
              </a:solidFill>
              <a:effectLst/>
              <a:latin typeface="+mn-lt"/>
              <a:ea typeface="+mn-ea"/>
              <a:cs typeface="+mn-cs"/>
            </a:rPr>
            <a:t> improvement type selected in cell C18.</a:t>
          </a:r>
        </a:p>
        <a:p>
          <a:pPr marL="628650" lvl="1" indent="-171450">
            <a:lnSpc>
              <a:spcPct val="150000"/>
            </a:lnSpc>
            <a:spcBef>
              <a:spcPts val="0"/>
            </a:spcBef>
            <a:buFont typeface="Arial" panose="020B0604020202020204" pitchFamily="34" charset="0"/>
            <a:buChar char="•"/>
          </a:pPr>
          <a:r>
            <a:rPr lang="en-US" sz="1100">
              <a:solidFill>
                <a:sysClr val="windowText" lastClr="000000"/>
              </a:solidFill>
              <a:effectLst/>
              <a:latin typeface="+mn-lt"/>
              <a:ea typeface="+mn-ea"/>
              <a:cs typeface="+mn-cs"/>
            </a:rPr>
            <a:t>Service Life (Years):  Service Life associated with the safety improvement type will be populated based on the safety improvement type selected in cell C19.</a:t>
          </a:r>
        </a:p>
        <a:p>
          <a:pPr marL="171450" lvl="0" indent="-171450">
            <a:lnSpc>
              <a:spcPct val="150000"/>
            </a:lnSpc>
            <a:spcBef>
              <a:spcPts val="0"/>
            </a:spcBef>
            <a:buFont typeface="Arial" panose="020B0604020202020204" pitchFamily="34" charset="0"/>
            <a:buChar char="•"/>
          </a:pPr>
          <a:r>
            <a:rPr lang="en-US" sz="1100">
              <a:solidFill>
                <a:sysClr val="windowText" lastClr="000000"/>
              </a:solidFill>
              <a:effectLst/>
              <a:latin typeface="+mn-lt"/>
              <a:ea typeface="+mn-ea"/>
              <a:cs typeface="+mn-cs"/>
            </a:rPr>
            <a:t>Daily Travel Demand:</a:t>
          </a:r>
        </a:p>
        <a:p>
          <a:pPr marL="628650" lvl="1" indent="-171450">
            <a:lnSpc>
              <a:spcPct val="150000"/>
            </a:lnSpc>
            <a:spcBef>
              <a:spcPts val="0"/>
            </a:spcBef>
            <a:buFont typeface="Arial" panose="020B0604020202020204" pitchFamily="34" charset="0"/>
            <a:buChar char="•"/>
          </a:pPr>
          <a:r>
            <a:rPr lang="en-US" sz="1100">
              <a:solidFill>
                <a:sysClr val="windowText" lastClr="000000"/>
              </a:solidFill>
              <a:effectLst/>
              <a:latin typeface="+mn-lt"/>
              <a:ea typeface="+mn-ea"/>
              <a:cs typeface="+mn-cs"/>
            </a:rPr>
            <a:t>2021 Volume (ADT): Sponsors may enter the latest traffic count available form TxDOT’s traffic count data, or sponsors may choose to collect the traffic counts and enter collected traffic count data</a:t>
          </a:r>
          <a:r>
            <a:rPr lang="en-US" sz="1100" baseline="0">
              <a:solidFill>
                <a:sysClr val="windowText" lastClr="000000"/>
              </a:solidFill>
              <a:effectLst/>
              <a:latin typeface="+mn-lt"/>
              <a:ea typeface="+mn-ea"/>
              <a:cs typeface="+mn-cs"/>
            </a:rPr>
            <a:t> in cell C26.</a:t>
          </a:r>
          <a:endParaRPr lang="en-US" sz="1100">
            <a:solidFill>
              <a:sysClr val="windowText" lastClr="000000"/>
            </a:solidFill>
            <a:effectLst/>
            <a:latin typeface="+mn-lt"/>
            <a:ea typeface="+mn-ea"/>
            <a:cs typeface="+mn-cs"/>
          </a:endParaRPr>
        </a:p>
        <a:p>
          <a:pPr marL="628650" lvl="1" indent="-171450">
            <a:lnSpc>
              <a:spcPct val="150000"/>
            </a:lnSpc>
            <a:spcBef>
              <a:spcPts val="0"/>
            </a:spcBef>
            <a:buFont typeface="Arial" panose="020B0604020202020204" pitchFamily="34" charset="0"/>
            <a:buChar char="•"/>
          </a:pPr>
          <a:r>
            <a:rPr lang="en-US" sz="1100">
              <a:solidFill>
                <a:sysClr val="windowText" lastClr="000000"/>
              </a:solidFill>
              <a:effectLst/>
              <a:latin typeface="+mn-lt"/>
              <a:ea typeface="+mn-ea"/>
              <a:cs typeface="+mn-cs"/>
            </a:rPr>
            <a:t>2021 Peak Period Traffic Volume (both</a:t>
          </a:r>
          <a:r>
            <a:rPr lang="en-US" sz="1100" baseline="0">
              <a:solidFill>
                <a:sysClr val="windowText" lastClr="000000"/>
              </a:solidFill>
              <a:effectLst/>
              <a:latin typeface="+mn-lt"/>
              <a:ea typeface="+mn-ea"/>
              <a:cs typeface="+mn-cs"/>
            </a:rPr>
            <a:t> directions)</a:t>
          </a:r>
          <a:r>
            <a:rPr lang="en-US" sz="1100">
              <a:solidFill>
                <a:sysClr val="windowText" lastClr="000000"/>
              </a:solidFill>
              <a:effectLst/>
              <a:latin typeface="+mn-lt"/>
              <a:ea typeface="+mn-ea"/>
              <a:cs typeface="+mn-cs"/>
            </a:rPr>
            <a:t>: Please enter peak period traffic volume data (6AM – 9AM + 3PM – 7PM) in cell C29.</a:t>
          </a:r>
          <a:r>
            <a:rPr lang="en-US" sz="1100" baseline="0">
              <a:solidFill>
                <a:sysClr val="windowText" lastClr="000000"/>
              </a:solidFill>
              <a:effectLst/>
              <a:latin typeface="+mn-lt"/>
              <a:ea typeface="+mn-ea"/>
              <a:cs typeface="+mn-cs"/>
            </a:rPr>
            <a:t> </a:t>
          </a:r>
          <a:r>
            <a:rPr lang="en-US" sz="1100">
              <a:solidFill>
                <a:sysClr val="windowText" lastClr="000000"/>
              </a:solidFill>
              <a:effectLst/>
              <a:latin typeface="+mn-lt"/>
              <a:ea typeface="+mn-ea"/>
              <a:cs typeface="+mn-cs"/>
            </a:rPr>
            <a:t> Sponsors may enter the peak period traffic volume from sponsor collected traffic counts or may request 2021 HGAC’s regional model peak period volume.</a:t>
          </a:r>
        </a:p>
        <a:p>
          <a:pPr marL="628650" lvl="1" indent="-171450">
            <a:lnSpc>
              <a:spcPct val="150000"/>
            </a:lnSpc>
            <a:spcBef>
              <a:spcPts val="0"/>
            </a:spcBef>
            <a:buFont typeface="Arial" panose="020B0604020202020204" pitchFamily="34" charset="0"/>
            <a:buChar char="•"/>
          </a:pPr>
          <a:r>
            <a:rPr lang="en-US" sz="1100">
              <a:solidFill>
                <a:sysClr val="windowText" lastClr="000000"/>
              </a:solidFill>
              <a:effectLst/>
              <a:latin typeface="+mn-lt"/>
              <a:ea typeface="+mn-ea"/>
              <a:cs typeface="+mn-cs"/>
            </a:rPr>
            <a:t>2021 Peak Period Roadway Capacity (all lanes): Please enter peak period</a:t>
          </a:r>
          <a:r>
            <a:rPr lang="en-US" sz="1100" baseline="0">
              <a:solidFill>
                <a:sysClr val="windowText" lastClr="000000"/>
              </a:solidFill>
              <a:effectLst/>
              <a:latin typeface="+mn-lt"/>
              <a:ea typeface="+mn-ea"/>
              <a:cs typeface="+mn-cs"/>
            </a:rPr>
            <a:t> roadway capacity in cell C30.  </a:t>
          </a:r>
          <a:r>
            <a:rPr lang="en-US" sz="1100">
              <a:solidFill>
                <a:sysClr val="windowText" lastClr="000000"/>
              </a:solidFill>
              <a:effectLst/>
              <a:latin typeface="+mn-lt"/>
              <a:ea typeface="+mn-ea"/>
              <a:cs typeface="+mn-cs"/>
            </a:rPr>
            <a:t>Sponsors may request 2021 HGAC’s regional model peak period capacity.</a:t>
          </a:r>
        </a:p>
        <a:p>
          <a:pPr marL="628650" lvl="1" indent="-171450">
            <a:lnSpc>
              <a:spcPct val="150000"/>
            </a:lnSpc>
            <a:spcBef>
              <a:spcPts val="0"/>
            </a:spcBef>
            <a:buFont typeface="Arial" panose="020B0604020202020204" pitchFamily="34" charset="0"/>
            <a:buChar char="•"/>
          </a:pPr>
          <a:r>
            <a:rPr lang="en-US" sz="1100">
              <a:solidFill>
                <a:sysClr val="windowText" lastClr="000000"/>
              </a:solidFill>
              <a:effectLst/>
              <a:latin typeface="+mn-lt"/>
              <a:ea typeface="+mn-ea"/>
              <a:cs typeface="+mn-cs"/>
            </a:rPr>
            <a:t>Estimate 2030 Peak Period Traffic Volume (both</a:t>
          </a:r>
          <a:r>
            <a:rPr lang="en-US" sz="1100" baseline="0">
              <a:solidFill>
                <a:sysClr val="windowText" lastClr="000000"/>
              </a:solidFill>
              <a:effectLst/>
              <a:latin typeface="+mn-lt"/>
              <a:ea typeface="+mn-ea"/>
              <a:cs typeface="+mn-cs"/>
            </a:rPr>
            <a:t> directions)</a:t>
          </a:r>
          <a:r>
            <a:rPr lang="en-US" sz="1100">
              <a:solidFill>
                <a:sysClr val="windowText" lastClr="000000"/>
              </a:solidFill>
              <a:effectLst/>
              <a:latin typeface="+mn-lt"/>
              <a:ea typeface="+mn-ea"/>
              <a:cs typeface="+mn-cs"/>
            </a:rPr>
            <a:t>: Please enter estimated 2030 peak period traffic volume in cell C29.</a:t>
          </a:r>
          <a:r>
            <a:rPr lang="en-US" sz="1100" baseline="0">
              <a:solidFill>
                <a:sysClr val="windowText" lastClr="000000"/>
              </a:solidFill>
              <a:effectLst/>
              <a:latin typeface="+mn-lt"/>
              <a:ea typeface="+mn-ea"/>
              <a:cs typeface="+mn-cs"/>
            </a:rPr>
            <a:t> </a:t>
          </a:r>
          <a:r>
            <a:rPr lang="en-US" sz="1100">
              <a:solidFill>
                <a:sysClr val="windowText" lastClr="000000"/>
              </a:solidFill>
              <a:effectLst/>
              <a:latin typeface="+mn-lt"/>
              <a:ea typeface="+mn-ea"/>
              <a:cs typeface="+mn-cs"/>
            </a:rPr>
            <a:t>Sponsors may request 2030 HGAC’s regional model peak period volume.</a:t>
          </a:r>
        </a:p>
        <a:p>
          <a:pPr marL="628650" lvl="1" indent="-171450">
            <a:lnSpc>
              <a:spcPct val="150000"/>
            </a:lnSpc>
            <a:spcBef>
              <a:spcPts val="0"/>
            </a:spcBef>
            <a:buFont typeface="Arial" panose="020B0604020202020204" pitchFamily="34" charset="0"/>
            <a:buChar char="•"/>
          </a:pPr>
          <a:r>
            <a:rPr lang="en-US" sz="1100">
              <a:solidFill>
                <a:sysClr val="windowText" lastClr="000000"/>
              </a:solidFill>
              <a:effectLst/>
              <a:latin typeface="+mn-lt"/>
              <a:ea typeface="+mn-ea"/>
              <a:cs typeface="+mn-cs"/>
            </a:rPr>
            <a:t>2030 Peak Period Roadway Capacity (all lanes): Please enter peak period roadway</a:t>
          </a:r>
          <a:r>
            <a:rPr lang="en-US" sz="1100" baseline="0">
              <a:solidFill>
                <a:sysClr val="windowText" lastClr="000000"/>
              </a:solidFill>
              <a:effectLst/>
              <a:latin typeface="+mn-lt"/>
              <a:ea typeface="+mn-ea"/>
              <a:cs typeface="+mn-cs"/>
            </a:rPr>
            <a:t> capacity in cell C30.  </a:t>
          </a:r>
          <a:r>
            <a:rPr lang="en-US" sz="1100">
              <a:solidFill>
                <a:sysClr val="windowText" lastClr="000000"/>
              </a:solidFill>
              <a:effectLst/>
              <a:latin typeface="+mn-lt"/>
              <a:ea typeface="+mn-ea"/>
              <a:cs typeface="+mn-cs"/>
            </a:rPr>
            <a:t>Sponsors may request 2030 HGAC’s regional model peak period capacity.</a:t>
          </a:r>
        </a:p>
        <a:p>
          <a:pPr marL="628650" lvl="1" indent="-171450">
            <a:lnSpc>
              <a:spcPct val="150000"/>
            </a:lnSpc>
            <a:spcBef>
              <a:spcPts val="0"/>
            </a:spcBef>
            <a:buFont typeface="Arial" panose="020B0604020202020204" pitchFamily="34" charset="0"/>
            <a:buChar char="•"/>
          </a:pPr>
          <a:r>
            <a:rPr lang="en-US" sz="1100">
              <a:solidFill>
                <a:sysClr val="windowText" lastClr="000000"/>
              </a:solidFill>
              <a:effectLst/>
              <a:latin typeface="+mn-lt"/>
              <a:ea typeface="+mn-ea"/>
              <a:cs typeface="+mn-cs"/>
            </a:rPr>
            <a:t>Estimated 2045 Peak Period Traffic Volume (both directions): Please enter estimated 2045</a:t>
          </a:r>
          <a:r>
            <a:rPr lang="en-US" sz="1100" baseline="0">
              <a:solidFill>
                <a:sysClr val="windowText" lastClr="000000"/>
              </a:solidFill>
              <a:effectLst/>
              <a:latin typeface="+mn-lt"/>
              <a:ea typeface="+mn-ea"/>
              <a:cs typeface="+mn-cs"/>
            </a:rPr>
            <a:t> </a:t>
          </a:r>
          <a:r>
            <a:rPr lang="en-US" sz="1100">
              <a:solidFill>
                <a:sysClr val="windowText" lastClr="000000"/>
              </a:solidFill>
              <a:effectLst/>
              <a:latin typeface="+mn-lt"/>
              <a:ea typeface="+mn-ea"/>
              <a:cs typeface="+mn-cs"/>
            </a:rPr>
            <a:t>peak period traffic volume in cell C33. Sponsors may request 2045 HGAC’s regional model peak period volume.</a:t>
          </a:r>
        </a:p>
        <a:p>
          <a:pPr marL="628650" lvl="1" indent="-171450">
            <a:lnSpc>
              <a:spcPct val="150000"/>
            </a:lnSpc>
            <a:spcBef>
              <a:spcPts val="0"/>
            </a:spcBef>
            <a:buFont typeface="Arial" panose="020B0604020202020204" pitchFamily="34" charset="0"/>
            <a:buChar char="•"/>
          </a:pPr>
          <a:r>
            <a:rPr lang="en-US" sz="1100">
              <a:solidFill>
                <a:sysClr val="windowText" lastClr="000000"/>
              </a:solidFill>
              <a:effectLst/>
              <a:latin typeface="+mn-lt"/>
              <a:ea typeface="+mn-ea"/>
              <a:cs typeface="+mn-cs"/>
            </a:rPr>
            <a:t>2045 Peak Period Roadway Capacity (all lanes): Please enter peak period roadway capacity</a:t>
          </a:r>
          <a:r>
            <a:rPr lang="en-US" sz="1100" baseline="0">
              <a:solidFill>
                <a:sysClr val="windowText" lastClr="000000"/>
              </a:solidFill>
              <a:effectLst/>
              <a:latin typeface="+mn-lt"/>
              <a:ea typeface="+mn-ea"/>
              <a:cs typeface="+mn-cs"/>
            </a:rPr>
            <a:t> in cell C34.  </a:t>
          </a:r>
          <a:r>
            <a:rPr lang="en-US" sz="1100">
              <a:solidFill>
                <a:sysClr val="windowText" lastClr="000000"/>
              </a:solidFill>
              <a:effectLst/>
              <a:latin typeface="+mn-lt"/>
              <a:ea typeface="+mn-ea"/>
              <a:cs typeface="+mn-cs"/>
            </a:rPr>
            <a:t>Sponsors may request 2045 HGAC’s regional model peak period capacity.</a:t>
          </a:r>
        </a:p>
        <a:p>
          <a:pPr>
            <a:lnSpc>
              <a:spcPct val="150000"/>
            </a:lnSpc>
            <a:spcBef>
              <a:spcPts val="0"/>
            </a:spcBef>
          </a:pPr>
          <a:r>
            <a:rPr lang="en-US" sz="1100" b="0" baseline="0">
              <a:solidFill>
                <a:sysClr val="windowText" lastClr="000000"/>
              </a:solidFill>
              <a:latin typeface="+mn-lt"/>
            </a:rPr>
            <a:t> </a:t>
          </a:r>
          <a:r>
            <a:rPr lang="en-US" sz="1100" b="1" i="1" baseline="0">
              <a:solidFill>
                <a:sysClr val="windowText" lastClr="000000"/>
              </a:solidFill>
              <a:latin typeface="+mn-lt"/>
            </a:rPr>
            <a:t>TxDOT's current Highway Safety Improvement Program (HSIP) Work Codes Table can be found at (</a:t>
          </a:r>
          <a:r>
            <a:rPr lang="en-US" sz="1100" u="sng">
              <a:solidFill>
                <a:sysClr val="windowText" lastClr="000000"/>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http://onlinemanuals.txdot.gov/txdotmanuals/hsi/hsip_work_codes_table.htm</a:t>
          </a:r>
          <a:r>
            <a:rPr lang="en-US" sz="1100" b="1" i="1" baseline="0">
              <a:solidFill>
                <a:sysClr val="windowText" lastClr="000000"/>
              </a:solidFill>
              <a:latin typeface="+mn-lt"/>
            </a:rPr>
            <a:t>)</a:t>
          </a:r>
        </a:p>
        <a:p>
          <a:pPr>
            <a:lnSpc>
              <a:spcPct val="150000"/>
            </a:lnSpc>
            <a:spcBef>
              <a:spcPts val="0"/>
            </a:spcBef>
          </a:pPr>
          <a:endParaRPr lang="en-US" sz="1100" b="1" i="1" baseline="0">
            <a:solidFill>
              <a:sysClr val="windowText" lastClr="000000"/>
            </a:solidFill>
            <a:latin typeface="+mn-lt"/>
          </a:endParaRPr>
        </a:p>
        <a:p>
          <a:pPr>
            <a:lnSpc>
              <a:spcPct val="150000"/>
            </a:lnSpc>
            <a:spcBef>
              <a:spcPts val="0"/>
            </a:spcBef>
          </a:pPr>
          <a:r>
            <a:rPr lang="en-US" sz="1100" b="0" baseline="0">
              <a:solidFill>
                <a:sysClr val="windowText" lastClr="000000"/>
              </a:solidFill>
              <a:latin typeface="+mn-lt"/>
            </a:rPr>
            <a:t>2. Results will be populated in "red" shaded section ("Benefit Results")</a:t>
          </a:r>
        </a:p>
        <a:p>
          <a:pPr>
            <a:lnSpc>
              <a:spcPct val="150000"/>
            </a:lnSpc>
            <a:spcBef>
              <a:spcPts val="0"/>
            </a:spcBef>
          </a:pPr>
          <a:r>
            <a:rPr lang="en-US" sz="1100" b="0" baseline="0">
              <a:solidFill>
                <a:sysClr val="windowText" lastClr="000000"/>
              </a:solidFill>
              <a:latin typeface="+mn-lt"/>
            </a:rPr>
            <a:t>This Template is required to be uploaded in the Benefit/Cost Analysis section of the online application.  Sponsors may choose to upload additional Safety Benefits using "Upload File" links in additional BCA documentation section of the online application. </a:t>
          </a:r>
        </a:p>
        <a:p>
          <a:endParaRPr lang="en-US" sz="1100" b="1" baseline="0">
            <a:solidFill>
              <a:schemeClr val="bg1"/>
            </a:solidFill>
            <a:latin typeface="+mn-l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100854</xdr:colOff>
      <xdr:row>22</xdr:row>
      <xdr:rowOff>123265</xdr:rowOff>
    </xdr:from>
    <xdr:to>
      <xdr:col>5</xdr:col>
      <xdr:colOff>156884</xdr:colOff>
      <xdr:row>31</xdr:row>
      <xdr:rowOff>156882</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00854" y="4314265"/>
          <a:ext cx="7314080" cy="1748117"/>
        </a:xfrm>
        <a:prstGeom prst="rect">
          <a:avLst/>
        </a:prstGeom>
        <a:solidFill>
          <a:schemeClr val="accent2"/>
        </a:solidFill>
        <a:ln/>
      </xdr:spPr>
      <xdr:style>
        <a:lnRef idx="2">
          <a:schemeClr val="accent2"/>
        </a:lnRef>
        <a:fillRef idx="1">
          <a:schemeClr val="lt1"/>
        </a:fillRef>
        <a:effectRef idx="0">
          <a:schemeClr val="accent2"/>
        </a:effectRef>
        <a:fontRef idx="minor">
          <a:schemeClr val="dk1"/>
        </a:fontRef>
      </xdr:style>
      <xdr:txBody>
        <a:bodyPr vertOverflow="clip" wrap="square" rtlCol="0" anchor="t"/>
        <a:lstStyle/>
        <a:p>
          <a:r>
            <a:rPr lang="en-US" sz="1100" b="1">
              <a:solidFill>
                <a:schemeClr val="bg1"/>
              </a:solidFill>
            </a:rPr>
            <a:t>Instructions: </a:t>
          </a:r>
        </a:p>
        <a:p>
          <a:r>
            <a:rPr lang="en-US" sz="1100" b="0">
              <a:solidFill>
                <a:schemeClr val="bg1"/>
              </a:solidFill>
            </a:rPr>
            <a:t>1. Fill in all "blue" shaded sections ("Project Information" and "Daily System/Facility</a:t>
          </a:r>
          <a:r>
            <a:rPr lang="en-US" sz="1100" b="0" baseline="0">
              <a:solidFill>
                <a:schemeClr val="bg1"/>
              </a:solidFill>
            </a:rPr>
            <a:t> Data"). Project costs should be expressed in </a:t>
          </a:r>
          <a:r>
            <a:rPr lang="en-US" sz="1100" b="0" u="sng" baseline="0">
              <a:solidFill>
                <a:schemeClr val="bg1"/>
              </a:solidFill>
            </a:rPr>
            <a:t>thousands</a:t>
          </a:r>
          <a:r>
            <a:rPr lang="en-US" sz="1100" b="0" baseline="0">
              <a:solidFill>
                <a:schemeClr val="bg1"/>
              </a:solidFill>
            </a:rPr>
            <a:t> of 2012 dollars.</a:t>
          </a:r>
        </a:p>
        <a:p>
          <a:endParaRPr lang="en-US" sz="1100" b="0" baseline="0">
            <a:solidFill>
              <a:schemeClr val="bg1"/>
            </a:solidFill>
          </a:endParaRPr>
        </a:p>
        <a:p>
          <a:r>
            <a:rPr lang="en-US" sz="1100" b="0" baseline="0">
              <a:solidFill>
                <a:schemeClr val="bg1"/>
              </a:solidFill>
            </a:rPr>
            <a:t>2. Results will be populated in "red" shaded section ("BCA Results")</a:t>
          </a:r>
        </a:p>
        <a:p>
          <a:endParaRPr lang="en-US" sz="1100" b="1" baseline="0">
            <a:solidFill>
              <a:schemeClr val="bg1"/>
            </a:solidFill>
          </a:endParaRPr>
        </a:p>
        <a:p>
          <a:r>
            <a:rPr lang="en-US" sz="1100" b="1" baseline="0">
              <a:solidFill>
                <a:schemeClr val="bg1"/>
              </a:solidFill>
            </a:rPr>
            <a:t>Note: Annual VHT Savings can be entered directly into the "purple" shaded cells to the right. In this case, please provide sufficient documentation of how the delay savings have been estimated, including baseline data and interim calculation documents (spreadsheets, etc.).</a:t>
          </a:r>
        </a:p>
        <a:p>
          <a:endParaRPr lang="en-US" sz="1100" b="1">
            <a:solidFill>
              <a:schemeClr val="bg1"/>
            </a:solidFill>
          </a:endParaRP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2</xdr:col>
          <xdr:colOff>0</xdr:colOff>
          <xdr:row>6</xdr:row>
          <xdr:rowOff>9525</xdr:rowOff>
        </xdr:to>
        <xdr:sp macro="" textlink="">
          <xdr:nvSpPr>
            <xdr:cNvPr id="4097" name="Drop Down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100854</xdr:colOff>
      <xdr:row>22</xdr:row>
      <xdr:rowOff>123265</xdr:rowOff>
    </xdr:from>
    <xdr:to>
      <xdr:col>5</xdr:col>
      <xdr:colOff>156884</xdr:colOff>
      <xdr:row>31</xdr:row>
      <xdr:rowOff>156882</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00854" y="4314265"/>
          <a:ext cx="7314080" cy="1748117"/>
        </a:xfrm>
        <a:prstGeom prst="rect">
          <a:avLst/>
        </a:prstGeom>
        <a:solidFill>
          <a:schemeClr val="accent2"/>
        </a:solidFill>
        <a:ln/>
      </xdr:spPr>
      <xdr:style>
        <a:lnRef idx="2">
          <a:schemeClr val="accent2"/>
        </a:lnRef>
        <a:fillRef idx="1">
          <a:schemeClr val="lt1"/>
        </a:fillRef>
        <a:effectRef idx="0">
          <a:schemeClr val="accent2"/>
        </a:effectRef>
        <a:fontRef idx="minor">
          <a:schemeClr val="dk1"/>
        </a:fontRef>
      </xdr:style>
      <xdr:txBody>
        <a:bodyPr vertOverflow="clip" wrap="square" rtlCol="0" anchor="t"/>
        <a:lstStyle/>
        <a:p>
          <a:r>
            <a:rPr lang="en-US" sz="1100" b="1">
              <a:solidFill>
                <a:schemeClr val="bg1"/>
              </a:solidFill>
            </a:rPr>
            <a:t>Instructions: </a:t>
          </a:r>
        </a:p>
        <a:p>
          <a:r>
            <a:rPr lang="en-US" sz="1100" b="0">
              <a:solidFill>
                <a:schemeClr val="bg1"/>
              </a:solidFill>
            </a:rPr>
            <a:t>1. Fill in all "blue" shaded sections ("Project Information" and "Emissions Reduction Estimates</a:t>
          </a:r>
          <a:r>
            <a:rPr lang="en-US" sz="1100" b="0" baseline="0">
              <a:solidFill>
                <a:schemeClr val="bg1"/>
              </a:solidFill>
            </a:rPr>
            <a:t>"). Project costs should be expressed in </a:t>
          </a:r>
          <a:r>
            <a:rPr lang="en-US" sz="1100" b="0" u="sng" baseline="0">
              <a:solidFill>
                <a:schemeClr val="bg1"/>
              </a:solidFill>
            </a:rPr>
            <a:t>thousands</a:t>
          </a:r>
          <a:r>
            <a:rPr lang="en-US" sz="1100" b="0" baseline="0">
              <a:solidFill>
                <a:schemeClr val="bg1"/>
              </a:solidFill>
            </a:rPr>
            <a:t> of 2012 dollars.</a:t>
          </a:r>
        </a:p>
        <a:p>
          <a:endParaRPr lang="en-US" sz="1100" b="0" baseline="0">
            <a:solidFill>
              <a:schemeClr val="bg1"/>
            </a:solidFill>
          </a:endParaRPr>
        </a:p>
        <a:p>
          <a:r>
            <a:rPr lang="en-US" sz="1100" b="0" baseline="0">
              <a:solidFill>
                <a:schemeClr val="bg1"/>
              </a:solidFill>
            </a:rPr>
            <a:t>2. Results will be populated in "red" shaded section ("BCA Results")</a:t>
          </a:r>
        </a:p>
        <a:p>
          <a:endParaRPr lang="en-US" sz="1100" b="1" baseline="0">
            <a:solidFill>
              <a:schemeClr val="bg1"/>
            </a:solidFill>
          </a:endParaRPr>
        </a:p>
        <a:p>
          <a:r>
            <a:rPr lang="en-US" sz="1100" b="1" baseline="0">
              <a:solidFill>
                <a:schemeClr val="bg1"/>
              </a:solidFill>
            </a:rPr>
            <a:t>Note: This sheet will take either an estimate of daily VMT reduced or annual metric tons of pollutant reduced. For projects where emissions reduction vary by year, formulas in the "purple" cells to the right may be overwritten. Emissions factors for bike/ped and LCI projects are provided, please contact H-GAC for assistance in identifing the appropriate emissions factors for other project types.</a:t>
          </a:r>
        </a:p>
        <a:p>
          <a:endParaRPr lang="en-US" sz="1100" b="1">
            <a:solidFill>
              <a:schemeClr val="bg1"/>
            </a:solidFill>
          </a:endParaRP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2</xdr:col>
          <xdr:colOff>0</xdr:colOff>
          <xdr:row>6</xdr:row>
          <xdr:rowOff>9525</xdr:rowOff>
        </xdr:to>
        <xdr:sp macro="" textlink="">
          <xdr:nvSpPr>
            <xdr:cNvPr id="3073" name="Drop Down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19050</xdr:colOff>
      <xdr:row>23</xdr:row>
      <xdr:rowOff>152400</xdr:rowOff>
    </xdr:from>
    <xdr:to>
      <xdr:col>2</xdr:col>
      <xdr:colOff>1485900</xdr:colOff>
      <xdr:row>29</xdr:row>
      <xdr:rowOff>28575</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600-000002000000}"/>
            </a:ext>
          </a:extLst>
        </xdr:cNvPr>
        <xdr:cNvSpPr txBox="1"/>
      </xdr:nvSpPr>
      <xdr:spPr>
        <a:xfrm>
          <a:off x="247650" y="4200525"/>
          <a:ext cx="5629275" cy="1019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a:t>* To the greatest extent possible, these values are taken from or consistent with the "TIGER Benefit-Cost Analysis (BCA) Resource Guide" published by US DOT for the FY 2014 Transporatation Investment Generating Economic Recovery (TIGER) application. The full resource guide is available online at: </a:t>
          </a:r>
          <a:r>
            <a:rPr lang="en-US" sz="1050" u="sng">
              <a:solidFill>
                <a:srgbClr val="0000FF"/>
              </a:solidFill>
            </a:rPr>
            <a:t>https://cms.dot.gov/sites/dot.gov/files/docs/BCA%20Resource%20Guide%20-%20November%202016.pdf</a:t>
          </a:r>
          <a:r>
            <a:rPr lang="en-US" sz="1050"/>
            <a:t>.</a:t>
          </a:r>
        </a:p>
      </xdr:txBody>
    </xdr:sp>
    <xdr:clientData/>
  </xdr:twoCellAnchor>
  <xdr:twoCellAnchor>
    <xdr:from>
      <xdr:col>1</xdr:col>
      <xdr:colOff>38101</xdr:colOff>
      <xdr:row>31</xdr:row>
      <xdr:rowOff>9525</xdr:rowOff>
    </xdr:from>
    <xdr:to>
      <xdr:col>3</xdr:col>
      <xdr:colOff>95251</xdr:colOff>
      <xdr:row>37</xdr:row>
      <xdr:rowOff>95250</xdr:rowOff>
    </xdr:to>
    <xdr:sp macro="" textlink="">
      <xdr:nvSpPr>
        <xdr:cNvPr id="3" name="TextBox 2">
          <a:hlinkClick xmlns:r="http://schemas.openxmlformats.org/officeDocument/2006/relationships" r:id="rId1"/>
          <a:extLst>
            <a:ext uri="{FF2B5EF4-FFF2-40B4-BE49-F238E27FC236}">
              <a16:creationId xmlns:a16="http://schemas.microsoft.com/office/drawing/2014/main" id="{00000000-0008-0000-0600-000003000000}"/>
            </a:ext>
          </a:extLst>
        </xdr:cNvPr>
        <xdr:cNvSpPr txBox="1"/>
      </xdr:nvSpPr>
      <xdr:spPr>
        <a:xfrm>
          <a:off x="266701" y="2486025"/>
          <a:ext cx="5734050" cy="1228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effectLst/>
              <a:latin typeface="+mn-lt"/>
              <a:ea typeface="+mn-ea"/>
              <a:cs typeface="+mn-cs"/>
            </a:rPr>
            <a:t>To the greatest extent possible, these values are taken from or consistent with the "Benefit-Cost Analysis Guidance for Discretionary</a:t>
          </a:r>
          <a:r>
            <a:rPr lang="en-US" sz="1100" baseline="0">
              <a:solidFill>
                <a:schemeClr val="dk1"/>
              </a:solidFill>
              <a:effectLst/>
              <a:latin typeface="+mn-lt"/>
              <a:ea typeface="+mn-ea"/>
              <a:cs typeface="+mn-cs"/>
            </a:rPr>
            <a:t> Grant Programs</a:t>
          </a:r>
          <a:r>
            <a:rPr lang="en-US" sz="1100">
              <a:solidFill>
                <a:schemeClr val="dk1"/>
              </a:solidFill>
              <a:effectLst/>
              <a:latin typeface="+mn-lt"/>
              <a:ea typeface="+mn-ea"/>
              <a:cs typeface="+mn-cs"/>
            </a:rPr>
            <a:t>" published by US DOT in June 2018. The full resource guide is available online at: </a:t>
          </a:r>
          <a:r>
            <a:rPr lang="en-US" sz="1100" u="sng">
              <a:solidFill>
                <a:schemeClr val="dk1"/>
              </a:solidFill>
              <a:effectLst/>
              <a:latin typeface="+mn-lt"/>
              <a:ea typeface="+mn-ea"/>
              <a:cs typeface="+mn-cs"/>
            </a:rPr>
            <a:t>https://www.transportation.gov/sites/dot.gov/files/docs/mission/office-policy/transportation-policy/284031/benefit-cost-analysis-guidance-2018_0.pdf</a:t>
          </a:r>
        </a:p>
        <a:p>
          <a:endParaRPr lang="en-US" sz="1050">
            <a:effectLst/>
          </a:endParaRPr>
        </a:p>
        <a:p>
          <a:endParaRPr lang="en-US" sz="1100" baseline="0">
            <a:effectLst/>
            <a:latin typeface="Calibri" panose="020F050202020403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ingala\AppData\Local\Microsoft\Windows\Temporary%20Internet%20Files\Content.Outlook\YYKLTGMD\Crash%20Ra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tes"/>
      <sheetName val="Crashes"/>
      <sheetName val="VMT"/>
    </sheetNames>
    <sheetDataSet>
      <sheetData sheetId="0"/>
      <sheetData sheetId="1"/>
      <sheetData sheetId="2">
        <row r="45">
          <cell r="B45" t="str">
            <v>Harris</v>
          </cell>
          <cell r="C45" t="str">
            <v>Freeway/Toll</v>
          </cell>
          <cell r="D45">
            <v>61905697.659999996</v>
          </cell>
        </row>
        <row r="46">
          <cell r="B46" t="str">
            <v>Brazoria</v>
          </cell>
          <cell r="C46" t="str">
            <v>Freeway/Toll</v>
          </cell>
          <cell r="D46">
            <v>2618324.17</v>
          </cell>
        </row>
        <row r="47">
          <cell r="B47" t="str">
            <v>Fort Bend</v>
          </cell>
          <cell r="C47" t="str">
            <v>Freeway/Toll</v>
          </cell>
          <cell r="D47">
            <v>3738995.92</v>
          </cell>
        </row>
        <row r="48">
          <cell r="B48" t="str">
            <v>Waller</v>
          </cell>
          <cell r="C48" t="str">
            <v>Freeway/Toll</v>
          </cell>
          <cell r="D48">
            <v>1086148.24</v>
          </cell>
        </row>
        <row r="49">
          <cell r="B49" t="str">
            <v>Montgomery</v>
          </cell>
          <cell r="C49" t="str">
            <v>Freeway/Toll</v>
          </cell>
          <cell r="D49">
            <v>6586746.6100000003</v>
          </cell>
        </row>
        <row r="50">
          <cell r="B50" t="str">
            <v>Liberty</v>
          </cell>
          <cell r="C50" t="str">
            <v>Freeway/Toll</v>
          </cell>
          <cell r="D50">
            <v>453352.42</v>
          </cell>
        </row>
        <row r="51">
          <cell r="B51" t="str">
            <v>Chambers</v>
          </cell>
          <cell r="C51" t="str">
            <v>Freeway/Toll</v>
          </cell>
          <cell r="D51">
            <v>2686327.44</v>
          </cell>
        </row>
        <row r="52">
          <cell r="B52" t="str">
            <v xml:space="preserve">Galveston </v>
          </cell>
          <cell r="C52" t="str">
            <v>Freeway/Toll</v>
          </cell>
          <cell r="D52">
            <v>2141923.42</v>
          </cell>
        </row>
        <row r="56">
          <cell r="B56" t="str">
            <v>Harris</v>
          </cell>
          <cell r="C56" t="str">
            <v>Other</v>
          </cell>
          <cell r="D56">
            <v>68304614.209999993</v>
          </cell>
        </row>
        <row r="57">
          <cell r="B57" t="str">
            <v>Brazoria</v>
          </cell>
          <cell r="C57" t="str">
            <v>Other</v>
          </cell>
          <cell r="D57">
            <v>6349097.3499999996</v>
          </cell>
        </row>
        <row r="58">
          <cell r="B58" t="str">
            <v>Fort Bend</v>
          </cell>
          <cell r="C58" t="str">
            <v>Other</v>
          </cell>
          <cell r="D58">
            <v>11227441.77</v>
          </cell>
        </row>
        <row r="59">
          <cell r="B59" t="str">
            <v>Waller</v>
          </cell>
          <cell r="C59" t="str">
            <v>Other</v>
          </cell>
          <cell r="D59">
            <v>1071767.3799999999</v>
          </cell>
        </row>
        <row r="60">
          <cell r="B60" t="str">
            <v>Montgomery</v>
          </cell>
          <cell r="C60" t="str">
            <v>Other</v>
          </cell>
          <cell r="D60">
            <v>10802724.890000001</v>
          </cell>
        </row>
        <row r="61">
          <cell r="B61" t="str">
            <v>Liberty</v>
          </cell>
          <cell r="C61" t="str">
            <v>Other</v>
          </cell>
          <cell r="D61">
            <v>2461276.84</v>
          </cell>
        </row>
        <row r="62">
          <cell r="B62" t="str">
            <v>Chambers</v>
          </cell>
          <cell r="C62" t="str">
            <v>Other</v>
          </cell>
          <cell r="D62">
            <v>933781.03</v>
          </cell>
        </row>
        <row r="63">
          <cell r="B63" t="str">
            <v xml:space="preserve">Galveston </v>
          </cell>
          <cell r="C63" t="str">
            <v>Other</v>
          </cell>
          <cell r="D63">
            <v>4518307.46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http://moser.tamu.edu/docs/Texas.Guide.to.Accepted.Mobile.Source.Emission.Reduction.Strategies_August.2007.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499984740745262"/>
    <pageSetUpPr fitToPage="1"/>
  </sheetPr>
  <dimension ref="A7"/>
  <sheetViews>
    <sheetView topLeftCell="A19" zoomScale="115" zoomScaleNormal="115" workbookViewId="0">
      <selection activeCell="P26" sqref="P26"/>
    </sheetView>
  </sheetViews>
  <sheetFormatPr defaultRowHeight="15" x14ac:dyDescent="0.25"/>
  <cols>
    <col min="1" max="1" width="45.140625" bestFit="1" customWidth="1"/>
    <col min="2" max="2" width="12.5703125" customWidth="1"/>
    <col min="3" max="3" width="5.28515625" customWidth="1"/>
    <col min="4" max="4" width="23.5703125" customWidth="1"/>
    <col min="5" max="5" width="15.28515625" bestFit="1" customWidth="1"/>
    <col min="6" max="6" width="13.28515625" customWidth="1"/>
    <col min="7" max="7" width="4.5703125" customWidth="1"/>
  </cols>
  <sheetData>
    <row r="7" spans="1:1" x14ac:dyDescent="0.25">
      <c r="A7" s="24"/>
    </row>
  </sheetData>
  <pageMargins left="0.25" right="0.25" top="0.75" bottom="0.75" header="0.3" footer="0.3"/>
  <pageSetup paperSize="17" fitToHeight="0"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pageSetUpPr fitToPage="1"/>
  </sheetPr>
  <dimension ref="A3:J53"/>
  <sheetViews>
    <sheetView zoomScale="85" zoomScaleNormal="85" workbookViewId="0">
      <selection activeCell="H1" sqref="H1:H1048576"/>
    </sheetView>
  </sheetViews>
  <sheetFormatPr defaultRowHeight="15" x14ac:dyDescent="0.25"/>
  <cols>
    <col min="1" max="1" width="38.85546875" customWidth="1"/>
    <col min="2" max="2" width="12.5703125" customWidth="1"/>
    <col min="3" max="3" width="5.28515625" customWidth="1"/>
    <col min="4" max="4" width="33.5703125" bestFit="1" customWidth="1"/>
    <col min="5" max="5" width="13.28515625" customWidth="1"/>
    <col min="6" max="6" width="4.5703125" customWidth="1"/>
    <col min="8" max="8" width="2.140625" hidden="1" customWidth="1"/>
    <col min="9" max="9" width="18.7109375" bestFit="1" customWidth="1"/>
    <col min="10" max="10" width="38.28515625" bestFit="1" customWidth="1"/>
  </cols>
  <sheetData>
    <row r="3" spans="1:10" x14ac:dyDescent="0.25">
      <c r="A3" s="6" t="s">
        <v>0</v>
      </c>
      <c r="D3" s="6" t="s">
        <v>19</v>
      </c>
      <c r="E3" s="7" t="s">
        <v>9</v>
      </c>
      <c r="G3" s="13" t="s">
        <v>13</v>
      </c>
      <c r="H3" s="13"/>
      <c r="I3" s="13" t="s">
        <v>20</v>
      </c>
      <c r="J3" s="13" t="s">
        <v>49</v>
      </c>
    </row>
    <row r="4" spans="1:10" x14ac:dyDescent="0.25">
      <c r="A4" s="4" t="s">
        <v>5</v>
      </c>
      <c r="B4" s="5"/>
      <c r="D4" s="4" t="s">
        <v>46</v>
      </c>
      <c r="E4" s="44">
        <v>2015</v>
      </c>
      <c r="G4" s="11">
        <f>E4</f>
        <v>2015</v>
      </c>
      <c r="H4" s="11">
        <f>IF(G4&lt;2041,1,0)</f>
        <v>1</v>
      </c>
      <c r="I4" s="20">
        <f>IF($G4&lt;($G$4+$E$5),$E$17,0)*H4</f>
        <v>0</v>
      </c>
      <c r="J4" s="33" t="e">
        <f>I4*$B$18*$B$19/10^3</f>
        <v>#REF!</v>
      </c>
    </row>
    <row r="5" spans="1:10" x14ac:dyDescent="0.25">
      <c r="A5" s="4" t="s">
        <v>6</v>
      </c>
      <c r="B5" s="5"/>
      <c r="D5" s="4" t="s">
        <v>36</v>
      </c>
      <c r="E5" s="8">
        <v>10</v>
      </c>
      <c r="G5" s="12">
        <f t="shared" ref="G5:G29" si="0">G4+1</f>
        <v>2016</v>
      </c>
      <c r="H5" s="12">
        <f t="shared" ref="H5:H29" si="1">IF(G5&lt;2041,1,0)</f>
        <v>1</v>
      </c>
      <c r="I5" s="20">
        <f t="shared" ref="I5:I29" si="2">IF($G5&lt;($G$4+$E$5),$E$17,0)*H5</f>
        <v>0</v>
      </c>
      <c r="J5" s="40" t="e">
        <f t="shared" ref="J5:J24" si="3">I5*$B$18*$B$19/10^3</f>
        <v>#REF!</v>
      </c>
    </row>
    <row r="6" spans="1:10" x14ac:dyDescent="0.25">
      <c r="A6" s="4" t="s">
        <v>7</v>
      </c>
      <c r="B6" s="5">
        <v>1</v>
      </c>
      <c r="D6" s="236" t="s">
        <v>34</v>
      </c>
      <c r="E6" s="237"/>
      <c r="G6" s="11">
        <f t="shared" si="0"/>
        <v>2017</v>
      </c>
      <c r="H6" s="11">
        <f t="shared" si="1"/>
        <v>1</v>
      </c>
      <c r="I6" s="20">
        <f t="shared" si="2"/>
        <v>0</v>
      </c>
      <c r="J6" s="33" t="e">
        <f t="shared" si="3"/>
        <v>#REF!</v>
      </c>
    </row>
    <row r="7" spans="1:10" x14ac:dyDescent="0.25">
      <c r="A7" s="4" t="s">
        <v>47</v>
      </c>
      <c r="B7" s="22"/>
      <c r="D7" s="4" t="s">
        <v>44</v>
      </c>
      <c r="E7" s="8"/>
      <c r="G7" s="12">
        <f t="shared" si="0"/>
        <v>2018</v>
      </c>
      <c r="H7" s="12">
        <f t="shared" si="1"/>
        <v>1</v>
      </c>
      <c r="I7" s="20">
        <f t="shared" si="2"/>
        <v>0</v>
      </c>
      <c r="J7" s="40" t="e">
        <f t="shared" si="3"/>
        <v>#REF!</v>
      </c>
    </row>
    <row r="8" spans="1:10" x14ac:dyDescent="0.25">
      <c r="A8" s="21" t="s">
        <v>48</v>
      </c>
      <c r="B8" s="22"/>
      <c r="D8" s="4" t="s">
        <v>42</v>
      </c>
      <c r="E8" s="43">
        <v>1.1499999999999999</v>
      </c>
      <c r="G8" s="11">
        <f t="shared" si="0"/>
        <v>2019</v>
      </c>
      <c r="H8" s="11">
        <f t="shared" si="1"/>
        <v>1</v>
      </c>
      <c r="I8" s="20">
        <f t="shared" si="2"/>
        <v>0</v>
      </c>
      <c r="J8" s="33" t="e">
        <f t="shared" si="3"/>
        <v>#REF!</v>
      </c>
    </row>
    <row r="9" spans="1:10" x14ac:dyDescent="0.25">
      <c r="G9" s="12">
        <f t="shared" si="0"/>
        <v>2020</v>
      </c>
      <c r="H9" s="12">
        <f t="shared" si="1"/>
        <v>1</v>
      </c>
      <c r="I9" s="20">
        <f t="shared" si="2"/>
        <v>0</v>
      </c>
      <c r="J9" s="40" t="e">
        <f t="shared" si="3"/>
        <v>#REF!</v>
      </c>
    </row>
    <row r="10" spans="1:10" x14ac:dyDescent="0.25">
      <c r="A10" s="10" t="s">
        <v>18</v>
      </c>
      <c r="G10" s="11">
        <f t="shared" si="0"/>
        <v>2021</v>
      </c>
      <c r="H10" s="11">
        <f t="shared" si="1"/>
        <v>1</v>
      </c>
      <c r="I10" s="20">
        <f t="shared" si="2"/>
        <v>0</v>
      </c>
      <c r="J10" s="33" t="e">
        <f t="shared" si="3"/>
        <v>#REF!</v>
      </c>
    </row>
    <row r="11" spans="1:10" x14ac:dyDescent="0.25">
      <c r="A11" s="9" t="s">
        <v>45</v>
      </c>
      <c r="B11" s="41" t="e">
        <f>NPV($B$17,J4:J29)/(1+$B$17)^(E4-B16+1)</f>
        <v>#REF!</v>
      </c>
      <c r="G11" s="12">
        <f t="shared" si="0"/>
        <v>2022</v>
      </c>
      <c r="H11" s="12">
        <f t="shared" si="1"/>
        <v>1</v>
      </c>
      <c r="I11" s="20">
        <f t="shared" si="2"/>
        <v>0</v>
      </c>
      <c r="J11" s="40" t="e">
        <f t="shared" si="3"/>
        <v>#REF!</v>
      </c>
    </row>
    <row r="12" spans="1:10" x14ac:dyDescent="0.25">
      <c r="A12" s="9" t="s">
        <v>17</v>
      </c>
      <c r="B12" s="39" t="e">
        <f>B11/B7</f>
        <v>#REF!</v>
      </c>
      <c r="G12" s="11">
        <f t="shared" si="0"/>
        <v>2023</v>
      </c>
      <c r="H12" s="11">
        <f t="shared" si="1"/>
        <v>1</v>
      </c>
      <c r="I12" s="20">
        <f t="shared" si="2"/>
        <v>0</v>
      </c>
      <c r="J12" s="33" t="e">
        <f t="shared" si="3"/>
        <v>#REF!</v>
      </c>
    </row>
    <row r="13" spans="1:10" x14ac:dyDescent="0.25">
      <c r="G13" s="12">
        <f t="shared" si="0"/>
        <v>2024</v>
      </c>
      <c r="H13" s="12">
        <f t="shared" si="1"/>
        <v>1</v>
      </c>
      <c r="I13" s="20">
        <f t="shared" si="2"/>
        <v>0</v>
      </c>
      <c r="J13" s="40" t="e">
        <f t="shared" si="3"/>
        <v>#REF!</v>
      </c>
    </row>
    <row r="14" spans="1:10" x14ac:dyDescent="0.25">
      <c r="G14" s="11">
        <f>G13+1</f>
        <v>2025</v>
      </c>
      <c r="H14" s="11">
        <f t="shared" si="1"/>
        <v>1</v>
      </c>
      <c r="I14" s="20">
        <f t="shared" si="2"/>
        <v>0</v>
      </c>
      <c r="J14" s="33" t="e">
        <f t="shared" si="3"/>
        <v>#REF!</v>
      </c>
    </row>
    <row r="15" spans="1:10" x14ac:dyDescent="0.25">
      <c r="A15" s="14" t="s">
        <v>1</v>
      </c>
      <c r="G15" s="12">
        <f t="shared" si="0"/>
        <v>2026</v>
      </c>
      <c r="H15" s="12">
        <f t="shared" si="1"/>
        <v>1</v>
      </c>
      <c r="I15" s="20">
        <f t="shared" si="2"/>
        <v>0</v>
      </c>
      <c r="J15" s="40" t="e">
        <f t="shared" si="3"/>
        <v>#REF!</v>
      </c>
    </row>
    <row r="16" spans="1:10" x14ac:dyDescent="0.25">
      <c r="A16" s="15" t="s">
        <v>2</v>
      </c>
      <c r="B16" s="25">
        <f>'Assumed Values'!C5</f>
        <v>2021</v>
      </c>
      <c r="D16" s="14" t="s">
        <v>15</v>
      </c>
      <c r="E16" s="23" t="s">
        <v>9</v>
      </c>
      <c r="G16" s="11">
        <f t="shared" si="0"/>
        <v>2027</v>
      </c>
      <c r="H16" s="11">
        <f t="shared" si="1"/>
        <v>1</v>
      </c>
      <c r="I16" s="20">
        <f t="shared" si="2"/>
        <v>0</v>
      </c>
      <c r="J16" s="33" t="e">
        <f t="shared" si="3"/>
        <v>#REF!</v>
      </c>
    </row>
    <row r="17" spans="1:10" x14ac:dyDescent="0.25">
      <c r="A17" s="15" t="s">
        <v>3</v>
      </c>
      <c r="B17" s="16">
        <f>'Assumed Values'!C6</f>
        <v>7.0000000000000007E-2</v>
      </c>
      <c r="D17" s="18" t="s">
        <v>43</v>
      </c>
      <c r="E17" s="19">
        <f>E7/E8</f>
        <v>0</v>
      </c>
      <c r="G17" s="12">
        <f t="shared" si="0"/>
        <v>2028</v>
      </c>
      <c r="H17" s="12">
        <f t="shared" si="1"/>
        <v>1</v>
      </c>
      <c r="I17" s="20">
        <f t="shared" si="2"/>
        <v>0</v>
      </c>
      <c r="J17" s="40" t="e">
        <f t="shared" si="3"/>
        <v>#REF!</v>
      </c>
    </row>
    <row r="18" spans="1:10" x14ac:dyDescent="0.25">
      <c r="A18" s="15" t="s">
        <v>4</v>
      </c>
      <c r="B18" s="15">
        <f>IF(B6=2,2.1, 1.1)</f>
        <v>1.1000000000000001</v>
      </c>
      <c r="G18" s="11">
        <f t="shared" si="0"/>
        <v>2029</v>
      </c>
      <c r="H18" s="11">
        <f t="shared" si="1"/>
        <v>1</v>
      </c>
      <c r="I18" s="20">
        <f t="shared" si="2"/>
        <v>0</v>
      </c>
      <c r="J18" s="33" t="e">
        <f t="shared" si="3"/>
        <v>#REF!</v>
      </c>
    </row>
    <row r="19" spans="1:10" x14ac:dyDescent="0.25">
      <c r="A19" s="15" t="s">
        <v>8</v>
      </c>
      <c r="B19" s="17" t="e">
        <f>'Assumed Values'!C15</f>
        <v>#REF!</v>
      </c>
      <c r="G19" s="12">
        <f t="shared" si="0"/>
        <v>2030</v>
      </c>
      <c r="H19" s="12">
        <f t="shared" si="1"/>
        <v>1</v>
      </c>
      <c r="I19" s="20">
        <f t="shared" si="2"/>
        <v>0</v>
      </c>
      <c r="J19" s="40" t="e">
        <f t="shared" si="3"/>
        <v>#REF!</v>
      </c>
    </row>
    <row r="20" spans="1:10" x14ac:dyDescent="0.25">
      <c r="A20" s="15" t="s">
        <v>16</v>
      </c>
      <c r="B20" s="15">
        <v>260</v>
      </c>
      <c r="G20" s="11">
        <f t="shared" si="0"/>
        <v>2031</v>
      </c>
      <c r="H20" s="11">
        <f t="shared" si="1"/>
        <v>1</v>
      </c>
      <c r="I20" s="20">
        <f t="shared" si="2"/>
        <v>0</v>
      </c>
      <c r="J20" s="33" t="e">
        <f t="shared" si="3"/>
        <v>#REF!</v>
      </c>
    </row>
    <row r="21" spans="1:10" x14ac:dyDescent="0.25">
      <c r="G21" s="12">
        <f t="shared" si="0"/>
        <v>2032</v>
      </c>
      <c r="H21" s="12">
        <f t="shared" si="1"/>
        <v>1</v>
      </c>
      <c r="I21" s="20">
        <f t="shared" si="2"/>
        <v>0</v>
      </c>
      <c r="J21" s="40" t="e">
        <f t="shared" si="3"/>
        <v>#REF!</v>
      </c>
    </row>
    <row r="22" spans="1:10" x14ac:dyDescent="0.25">
      <c r="G22" s="11">
        <f t="shared" si="0"/>
        <v>2033</v>
      </c>
      <c r="H22" s="11">
        <f t="shared" si="1"/>
        <v>1</v>
      </c>
      <c r="I22" s="20">
        <f t="shared" si="2"/>
        <v>0</v>
      </c>
      <c r="J22" s="33" t="e">
        <f t="shared" si="3"/>
        <v>#REF!</v>
      </c>
    </row>
    <row r="23" spans="1:10" x14ac:dyDescent="0.25">
      <c r="G23" s="12">
        <f t="shared" si="0"/>
        <v>2034</v>
      </c>
      <c r="H23" s="12">
        <f t="shared" si="1"/>
        <v>1</v>
      </c>
      <c r="I23" s="20">
        <f t="shared" si="2"/>
        <v>0</v>
      </c>
      <c r="J23" s="40" t="e">
        <f t="shared" si="3"/>
        <v>#REF!</v>
      </c>
    </row>
    <row r="24" spans="1:10" x14ac:dyDescent="0.25">
      <c r="G24" s="11">
        <f t="shared" si="0"/>
        <v>2035</v>
      </c>
      <c r="H24" s="11">
        <f t="shared" si="1"/>
        <v>1</v>
      </c>
      <c r="I24" s="20">
        <f t="shared" si="2"/>
        <v>0</v>
      </c>
      <c r="J24" s="33" t="e">
        <f t="shared" si="3"/>
        <v>#REF!</v>
      </c>
    </row>
    <row r="25" spans="1:10" x14ac:dyDescent="0.25">
      <c r="G25" s="12">
        <f t="shared" si="0"/>
        <v>2036</v>
      </c>
      <c r="H25" s="12">
        <f t="shared" si="1"/>
        <v>1</v>
      </c>
      <c r="I25" s="20">
        <f t="shared" si="2"/>
        <v>0</v>
      </c>
      <c r="J25" s="40" t="e">
        <f t="shared" ref="J25:J29" si="4">I25*$B$18*$B$19/10^3</f>
        <v>#REF!</v>
      </c>
    </row>
    <row r="26" spans="1:10" x14ac:dyDescent="0.25">
      <c r="G26" s="11">
        <f t="shared" si="0"/>
        <v>2037</v>
      </c>
      <c r="H26" s="11">
        <f t="shared" si="1"/>
        <v>1</v>
      </c>
      <c r="I26" s="20">
        <f t="shared" si="2"/>
        <v>0</v>
      </c>
      <c r="J26" s="33" t="e">
        <f t="shared" si="4"/>
        <v>#REF!</v>
      </c>
    </row>
    <row r="27" spans="1:10" x14ac:dyDescent="0.25">
      <c r="G27" s="12">
        <f t="shared" si="0"/>
        <v>2038</v>
      </c>
      <c r="H27" s="12">
        <f t="shared" si="1"/>
        <v>1</v>
      </c>
      <c r="I27" s="20">
        <f t="shared" si="2"/>
        <v>0</v>
      </c>
      <c r="J27" s="40" t="e">
        <f t="shared" si="4"/>
        <v>#REF!</v>
      </c>
    </row>
    <row r="28" spans="1:10" x14ac:dyDescent="0.25">
      <c r="G28" s="11">
        <f t="shared" si="0"/>
        <v>2039</v>
      </c>
      <c r="H28" s="11">
        <f t="shared" si="1"/>
        <v>1</v>
      </c>
      <c r="I28" s="20">
        <f t="shared" si="2"/>
        <v>0</v>
      </c>
      <c r="J28" s="33" t="e">
        <f t="shared" si="4"/>
        <v>#REF!</v>
      </c>
    </row>
    <row r="29" spans="1:10" x14ac:dyDescent="0.25">
      <c r="A29" s="24"/>
      <c r="G29" s="12">
        <f t="shared" si="0"/>
        <v>2040</v>
      </c>
      <c r="H29" s="12">
        <f t="shared" si="1"/>
        <v>1</v>
      </c>
      <c r="I29" s="20">
        <f t="shared" si="2"/>
        <v>0</v>
      </c>
      <c r="J29" s="40" t="e">
        <f t="shared" si="4"/>
        <v>#REF!</v>
      </c>
    </row>
    <row r="51" spans="1:1" x14ac:dyDescent="0.25">
      <c r="A51" t="s">
        <v>10</v>
      </c>
    </row>
    <row r="52" spans="1:1" x14ac:dyDescent="0.25">
      <c r="A52" s="3" t="s">
        <v>12</v>
      </c>
    </row>
    <row r="53" spans="1:1" x14ac:dyDescent="0.25">
      <c r="A53" s="3" t="s">
        <v>11</v>
      </c>
    </row>
  </sheetData>
  <mergeCells count="1">
    <mergeCell ref="D6:E6"/>
  </mergeCells>
  <pageMargins left="0.25" right="0.25" top="0.75" bottom="0.75" header="0.3" footer="0.3"/>
  <pageSetup paperSize="17"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Drop Down 1">
              <controlPr defaultSize="0" autoLine="0" autoPict="0">
                <anchor moveWithCells="1">
                  <from>
                    <xdr:col>1</xdr:col>
                    <xdr:colOff>0</xdr:colOff>
                    <xdr:row>5</xdr:row>
                    <xdr:rowOff>0</xdr:rowOff>
                  </from>
                  <to>
                    <xdr:col>2</xdr:col>
                    <xdr:colOff>0</xdr:colOff>
                    <xdr:row>6</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pageSetUpPr fitToPage="1"/>
  </sheetPr>
  <dimension ref="A3:K55"/>
  <sheetViews>
    <sheetView zoomScale="85" zoomScaleNormal="85" workbookViewId="0">
      <selection activeCell="H1" sqref="H1:H1048576"/>
    </sheetView>
  </sheetViews>
  <sheetFormatPr defaultRowHeight="15" x14ac:dyDescent="0.25"/>
  <cols>
    <col min="1" max="1" width="54.28515625" customWidth="1"/>
    <col min="2" max="2" width="12.5703125" customWidth="1"/>
    <col min="3" max="3" width="5.28515625" customWidth="1"/>
    <col min="4" max="4" width="37.42578125" bestFit="1" customWidth="1"/>
    <col min="5" max="5" width="13.28515625" customWidth="1"/>
    <col min="6" max="6" width="4.5703125" customWidth="1"/>
    <col min="8" max="8" width="26.42578125" bestFit="1" customWidth="1"/>
    <col min="9" max="9" width="34.5703125" bestFit="1" customWidth="1"/>
    <col min="10" max="10" width="24.140625" bestFit="1" customWidth="1"/>
    <col min="11" max="11" width="33.42578125" bestFit="1" customWidth="1"/>
  </cols>
  <sheetData>
    <row r="3" spans="1:11" x14ac:dyDescent="0.25">
      <c r="A3" s="6" t="s">
        <v>0</v>
      </c>
      <c r="D3" s="6" t="s">
        <v>32</v>
      </c>
      <c r="E3" s="7" t="s">
        <v>9</v>
      </c>
      <c r="G3" s="13" t="s">
        <v>13</v>
      </c>
      <c r="H3" s="13" t="s">
        <v>41</v>
      </c>
      <c r="I3" s="13" t="s">
        <v>50</v>
      </c>
      <c r="J3" s="13" t="s">
        <v>40</v>
      </c>
      <c r="K3" s="13" t="s">
        <v>51</v>
      </c>
    </row>
    <row r="4" spans="1:11" x14ac:dyDescent="0.25">
      <c r="A4" s="4" t="s">
        <v>5</v>
      </c>
      <c r="B4" s="5"/>
      <c r="D4" s="4" t="s">
        <v>46</v>
      </c>
      <c r="E4" s="44">
        <v>2015</v>
      </c>
      <c r="G4" s="11">
        <f>E4</f>
        <v>2015</v>
      </c>
      <c r="H4" s="36">
        <f t="shared" ref="H4:H24" si="0">IF($G4&lt;($G$4+$E$5),$E$17,0)</f>
        <v>0</v>
      </c>
      <c r="I4" s="35" t="e">
        <f>H4*$B$20/10^3</f>
        <v>#REF!</v>
      </c>
      <c r="J4" s="36">
        <f t="shared" ref="J4:J24" si="1">IF($G4&lt;($G$4+$E$5),$E$18,0)</f>
        <v>0</v>
      </c>
      <c r="K4" s="35" t="e">
        <f>J4*$B$21/10^3</f>
        <v>#REF!</v>
      </c>
    </row>
    <row r="5" spans="1:11" x14ac:dyDescent="0.25">
      <c r="A5" s="4" t="s">
        <v>6</v>
      </c>
      <c r="B5" s="5"/>
      <c r="D5" s="4" t="s">
        <v>36</v>
      </c>
      <c r="E5" s="8">
        <v>10</v>
      </c>
      <c r="G5" s="12">
        <f t="shared" ref="G5:G29" si="2">G4+1</f>
        <v>2016</v>
      </c>
      <c r="H5" s="36">
        <f t="shared" si="0"/>
        <v>0</v>
      </c>
      <c r="I5" s="37" t="e">
        <f t="shared" ref="I5:I24" si="3">H5*$B$20/10^3</f>
        <v>#REF!</v>
      </c>
      <c r="J5" s="36">
        <f t="shared" si="1"/>
        <v>0</v>
      </c>
      <c r="K5" s="37" t="e">
        <f t="shared" ref="K5:K24" si="4">J5*$B$21/10^3</f>
        <v>#REF!</v>
      </c>
    </row>
    <row r="6" spans="1:11" x14ac:dyDescent="0.25">
      <c r="A6" s="4" t="s">
        <v>37</v>
      </c>
      <c r="B6" s="5">
        <v>2</v>
      </c>
      <c r="D6" s="236" t="s">
        <v>34</v>
      </c>
      <c r="E6" s="237"/>
      <c r="G6" s="11">
        <f t="shared" si="2"/>
        <v>2017</v>
      </c>
      <c r="H6" s="36">
        <f t="shared" si="0"/>
        <v>0</v>
      </c>
      <c r="I6" s="35" t="e">
        <f t="shared" si="3"/>
        <v>#REF!</v>
      </c>
      <c r="J6" s="36">
        <f t="shared" si="1"/>
        <v>0</v>
      </c>
      <c r="K6" s="35" t="e">
        <f t="shared" si="4"/>
        <v>#REF!</v>
      </c>
    </row>
    <row r="7" spans="1:11" x14ac:dyDescent="0.25">
      <c r="A7" s="4" t="s">
        <v>47</v>
      </c>
      <c r="B7" s="22"/>
      <c r="D7" s="4" t="s">
        <v>33</v>
      </c>
      <c r="E7" s="8"/>
      <c r="G7" s="12">
        <f t="shared" si="2"/>
        <v>2018</v>
      </c>
      <c r="H7" s="36">
        <f t="shared" si="0"/>
        <v>0</v>
      </c>
      <c r="I7" s="37" t="e">
        <f t="shared" si="3"/>
        <v>#REF!</v>
      </c>
      <c r="J7" s="36">
        <f t="shared" si="1"/>
        <v>0</v>
      </c>
      <c r="K7" s="37" t="e">
        <f t="shared" si="4"/>
        <v>#REF!</v>
      </c>
    </row>
    <row r="8" spans="1:11" x14ac:dyDescent="0.25">
      <c r="A8" s="21" t="s">
        <v>48</v>
      </c>
      <c r="B8" s="22"/>
      <c r="D8" s="236" t="s">
        <v>35</v>
      </c>
      <c r="E8" s="237"/>
      <c r="G8" s="11">
        <f t="shared" si="2"/>
        <v>2019</v>
      </c>
      <c r="H8" s="36">
        <f t="shared" si="0"/>
        <v>0</v>
      </c>
      <c r="I8" s="35" t="e">
        <f t="shared" si="3"/>
        <v>#REF!</v>
      </c>
      <c r="J8" s="36">
        <f t="shared" si="1"/>
        <v>0</v>
      </c>
      <c r="K8" s="35" t="e">
        <f t="shared" si="4"/>
        <v>#REF!</v>
      </c>
    </row>
    <row r="9" spans="1:11" x14ac:dyDescent="0.25">
      <c r="D9" s="4" t="s">
        <v>38</v>
      </c>
      <c r="E9" s="8"/>
      <c r="G9" s="12">
        <f t="shared" si="2"/>
        <v>2020</v>
      </c>
      <c r="H9" s="36">
        <f t="shared" si="0"/>
        <v>0</v>
      </c>
      <c r="I9" s="37" t="e">
        <f t="shared" si="3"/>
        <v>#REF!</v>
      </c>
      <c r="J9" s="36">
        <f t="shared" si="1"/>
        <v>0</v>
      </c>
      <c r="K9" s="37" t="e">
        <f t="shared" si="4"/>
        <v>#REF!</v>
      </c>
    </row>
    <row r="10" spans="1:11" x14ac:dyDescent="0.25">
      <c r="A10" s="10" t="s">
        <v>18</v>
      </c>
      <c r="D10" s="4" t="s">
        <v>39</v>
      </c>
      <c r="E10" s="8"/>
      <c r="G10" s="11">
        <f t="shared" si="2"/>
        <v>2021</v>
      </c>
      <c r="H10" s="36">
        <f t="shared" si="0"/>
        <v>0</v>
      </c>
      <c r="I10" s="35" t="e">
        <f t="shared" si="3"/>
        <v>#REF!</v>
      </c>
      <c r="J10" s="36">
        <f t="shared" si="1"/>
        <v>0</v>
      </c>
      <c r="K10" s="35" t="e">
        <f t="shared" si="4"/>
        <v>#REF!</v>
      </c>
    </row>
    <row r="11" spans="1:11" x14ac:dyDescent="0.25">
      <c r="A11" s="9" t="s">
        <v>52</v>
      </c>
      <c r="B11" s="38" t="e">
        <f>(NPV($B$17,K4:K24)+NPV($B$17,I4:I24))/(1+$B$17)^2</f>
        <v>#REF!</v>
      </c>
      <c r="G11" s="12">
        <f t="shared" si="2"/>
        <v>2022</v>
      </c>
      <c r="H11" s="36">
        <f t="shared" si="0"/>
        <v>0</v>
      </c>
      <c r="I11" s="37" t="e">
        <f t="shared" si="3"/>
        <v>#REF!</v>
      </c>
      <c r="J11" s="36">
        <f t="shared" si="1"/>
        <v>0</v>
      </c>
      <c r="K11" s="37" t="e">
        <f t="shared" si="4"/>
        <v>#REF!</v>
      </c>
    </row>
    <row r="12" spans="1:11" x14ac:dyDescent="0.25">
      <c r="A12" s="9" t="s">
        <v>17</v>
      </c>
      <c r="B12" s="39" t="e">
        <f>B11/B7</f>
        <v>#REF!</v>
      </c>
      <c r="G12" s="11">
        <f t="shared" si="2"/>
        <v>2023</v>
      </c>
      <c r="H12" s="36">
        <f t="shared" si="0"/>
        <v>0</v>
      </c>
      <c r="I12" s="35" t="e">
        <f t="shared" si="3"/>
        <v>#REF!</v>
      </c>
      <c r="J12" s="36">
        <f t="shared" si="1"/>
        <v>0</v>
      </c>
      <c r="K12" s="35" t="e">
        <f t="shared" si="4"/>
        <v>#REF!</v>
      </c>
    </row>
    <row r="13" spans="1:11" x14ac:dyDescent="0.25">
      <c r="A13" s="9" t="s">
        <v>53</v>
      </c>
      <c r="B13" s="38" t="e">
        <f>B7*(B17/(1-(1+B17)^(-E5))/(SUM(H4:H29)+SUM(J4:J29)))</f>
        <v>#DIV/0!</v>
      </c>
      <c r="G13" s="12">
        <f t="shared" si="2"/>
        <v>2024</v>
      </c>
      <c r="H13" s="36">
        <f t="shared" si="0"/>
        <v>0</v>
      </c>
      <c r="I13" s="37" t="e">
        <f t="shared" si="3"/>
        <v>#REF!</v>
      </c>
      <c r="J13" s="36">
        <f t="shared" si="1"/>
        <v>0</v>
      </c>
      <c r="K13" s="37" t="e">
        <f t="shared" si="4"/>
        <v>#REF!</v>
      </c>
    </row>
    <row r="14" spans="1:11" x14ac:dyDescent="0.25">
      <c r="G14" s="11">
        <f>G13+1</f>
        <v>2025</v>
      </c>
      <c r="H14" s="36">
        <f t="shared" si="0"/>
        <v>0</v>
      </c>
      <c r="I14" s="35" t="e">
        <f t="shared" si="3"/>
        <v>#REF!</v>
      </c>
      <c r="J14" s="36">
        <f t="shared" si="1"/>
        <v>0</v>
      </c>
      <c r="K14" s="35" t="e">
        <f t="shared" si="4"/>
        <v>#REF!</v>
      </c>
    </row>
    <row r="15" spans="1:11" x14ac:dyDescent="0.25">
      <c r="A15" s="14" t="s">
        <v>1</v>
      </c>
      <c r="G15" s="12">
        <f t="shared" si="2"/>
        <v>2026</v>
      </c>
      <c r="H15" s="36">
        <f t="shared" si="0"/>
        <v>0</v>
      </c>
      <c r="I15" s="37" t="e">
        <f t="shared" si="3"/>
        <v>#REF!</v>
      </c>
      <c r="J15" s="36">
        <f t="shared" si="1"/>
        <v>0</v>
      </c>
      <c r="K15" s="37" t="e">
        <f t="shared" si="4"/>
        <v>#REF!</v>
      </c>
    </row>
    <row r="16" spans="1:11" x14ac:dyDescent="0.25">
      <c r="A16" s="15" t="s">
        <v>2</v>
      </c>
      <c r="B16" s="25">
        <v>2015</v>
      </c>
      <c r="D16" s="14" t="s">
        <v>15</v>
      </c>
      <c r="E16" s="23" t="s">
        <v>9</v>
      </c>
      <c r="G16" s="11">
        <f t="shared" si="2"/>
        <v>2027</v>
      </c>
      <c r="H16" s="36">
        <f t="shared" si="0"/>
        <v>0</v>
      </c>
      <c r="I16" s="35" t="e">
        <f t="shared" si="3"/>
        <v>#REF!</v>
      </c>
      <c r="J16" s="36">
        <f t="shared" si="1"/>
        <v>0</v>
      </c>
      <c r="K16" s="35" t="e">
        <f t="shared" si="4"/>
        <v>#REF!</v>
      </c>
    </row>
    <row r="17" spans="1:11" x14ac:dyDescent="0.25">
      <c r="A17" s="15" t="s">
        <v>3</v>
      </c>
      <c r="B17" s="16">
        <v>7.0000000000000007E-2</v>
      </c>
      <c r="D17" s="18" t="s">
        <v>38</v>
      </c>
      <c r="E17" s="32">
        <f>IF(E9,E9,$E$7*B18*$B$22/10^6)</f>
        <v>0</v>
      </c>
      <c r="G17" s="12">
        <f t="shared" si="2"/>
        <v>2028</v>
      </c>
      <c r="H17" s="36">
        <f t="shared" si="0"/>
        <v>0</v>
      </c>
      <c r="I17" s="37" t="e">
        <f t="shared" si="3"/>
        <v>#REF!</v>
      </c>
      <c r="J17" s="36">
        <f t="shared" si="1"/>
        <v>0</v>
      </c>
      <c r="K17" s="37" t="e">
        <f t="shared" si="4"/>
        <v>#REF!</v>
      </c>
    </row>
    <row r="18" spans="1:11" x14ac:dyDescent="0.25">
      <c r="A18" s="15" t="s">
        <v>30</v>
      </c>
      <c r="B18" s="42">
        <f>IF($B$6=2,'Assumed Values'!C21,0)</f>
        <v>0.32340150000000001</v>
      </c>
      <c r="D18" s="18" t="s">
        <v>39</v>
      </c>
      <c r="E18" s="32">
        <f>IF(E10,E10,$E$7*B19*$B$22/10^6)</f>
        <v>0</v>
      </c>
      <c r="G18" s="11">
        <f t="shared" si="2"/>
        <v>2029</v>
      </c>
      <c r="H18" s="36">
        <f t="shared" si="0"/>
        <v>0</v>
      </c>
      <c r="I18" s="35" t="e">
        <f t="shared" si="3"/>
        <v>#REF!</v>
      </c>
      <c r="J18" s="36">
        <f t="shared" si="1"/>
        <v>0</v>
      </c>
      <c r="K18" s="35" t="e">
        <f t="shared" si="4"/>
        <v>#REF!</v>
      </c>
    </row>
    <row r="19" spans="1:11" x14ac:dyDescent="0.25">
      <c r="A19" s="15" t="s">
        <v>31</v>
      </c>
      <c r="B19" s="42">
        <f>IF($B$6=2,'Assumed Values'!C22,0)</f>
        <v>0.19106300000000001</v>
      </c>
      <c r="G19" s="12">
        <f t="shared" si="2"/>
        <v>2030</v>
      </c>
      <c r="H19" s="36">
        <f t="shared" si="0"/>
        <v>0</v>
      </c>
      <c r="I19" s="37" t="e">
        <f t="shared" si="3"/>
        <v>#REF!</v>
      </c>
      <c r="J19" s="36">
        <f t="shared" si="1"/>
        <v>0</v>
      </c>
      <c r="K19" s="37" t="e">
        <f t="shared" si="4"/>
        <v>#REF!</v>
      </c>
    </row>
    <row r="20" spans="1:11" x14ac:dyDescent="0.25">
      <c r="A20" s="15" t="s">
        <v>54</v>
      </c>
      <c r="B20" s="34" t="e">
        <f>'Assumed Values'!C19</f>
        <v>#REF!</v>
      </c>
      <c r="G20" s="11">
        <f t="shared" si="2"/>
        <v>2031</v>
      </c>
      <c r="H20" s="36">
        <f t="shared" si="0"/>
        <v>0</v>
      </c>
      <c r="I20" s="35" t="e">
        <f t="shared" si="3"/>
        <v>#REF!</v>
      </c>
      <c r="J20" s="36">
        <f t="shared" si="1"/>
        <v>0</v>
      </c>
      <c r="K20" s="35" t="e">
        <f t="shared" si="4"/>
        <v>#REF!</v>
      </c>
    </row>
    <row r="21" spans="1:11" x14ac:dyDescent="0.25">
      <c r="A21" s="15" t="s">
        <v>55</v>
      </c>
      <c r="B21" s="34" t="e">
        <f>'Assumed Values'!C20</f>
        <v>#REF!</v>
      </c>
      <c r="G21" s="12">
        <f t="shared" si="2"/>
        <v>2032</v>
      </c>
      <c r="H21" s="36">
        <f t="shared" si="0"/>
        <v>0</v>
      </c>
      <c r="I21" s="37" t="e">
        <f t="shared" si="3"/>
        <v>#REF!</v>
      </c>
      <c r="J21" s="36">
        <f t="shared" si="1"/>
        <v>0</v>
      </c>
      <c r="K21" s="37" t="e">
        <f t="shared" si="4"/>
        <v>#REF!</v>
      </c>
    </row>
    <row r="22" spans="1:11" x14ac:dyDescent="0.25">
      <c r="A22" s="15" t="s">
        <v>16</v>
      </c>
      <c r="B22" s="15">
        <v>260</v>
      </c>
      <c r="G22" s="11">
        <f t="shared" si="2"/>
        <v>2033</v>
      </c>
      <c r="H22" s="36">
        <f t="shared" si="0"/>
        <v>0</v>
      </c>
      <c r="I22" s="35" t="e">
        <f t="shared" si="3"/>
        <v>#REF!</v>
      </c>
      <c r="J22" s="36">
        <f t="shared" si="1"/>
        <v>0</v>
      </c>
      <c r="K22" s="35" t="e">
        <f t="shared" si="4"/>
        <v>#REF!</v>
      </c>
    </row>
    <row r="23" spans="1:11" x14ac:dyDescent="0.25">
      <c r="G23" s="12">
        <f t="shared" si="2"/>
        <v>2034</v>
      </c>
      <c r="H23" s="36">
        <f t="shared" si="0"/>
        <v>0</v>
      </c>
      <c r="I23" s="37" t="e">
        <f t="shared" si="3"/>
        <v>#REF!</v>
      </c>
      <c r="J23" s="36">
        <f t="shared" si="1"/>
        <v>0</v>
      </c>
      <c r="K23" s="37" t="e">
        <f t="shared" si="4"/>
        <v>#REF!</v>
      </c>
    </row>
    <row r="24" spans="1:11" x14ac:dyDescent="0.25">
      <c r="G24" s="11">
        <f t="shared" si="2"/>
        <v>2035</v>
      </c>
      <c r="H24" s="36">
        <f t="shared" si="0"/>
        <v>0</v>
      </c>
      <c r="I24" s="35" t="e">
        <f t="shared" si="3"/>
        <v>#REF!</v>
      </c>
      <c r="J24" s="36">
        <f t="shared" si="1"/>
        <v>0</v>
      </c>
      <c r="K24" s="35" t="e">
        <f t="shared" si="4"/>
        <v>#REF!</v>
      </c>
    </row>
    <row r="25" spans="1:11" x14ac:dyDescent="0.25">
      <c r="G25" s="12">
        <f t="shared" si="2"/>
        <v>2036</v>
      </c>
      <c r="H25" s="36">
        <f t="shared" ref="H25:H28" si="5">IF($G25&lt;($G$4+$E$5),$E$17,0)</f>
        <v>0</v>
      </c>
      <c r="I25" s="37" t="e">
        <f t="shared" ref="I25:I29" si="6">H25*$B$20/10^3</f>
        <v>#REF!</v>
      </c>
      <c r="J25" s="36">
        <f t="shared" ref="J25:J28" si="7">IF($G25&lt;($G$4+$E$5),$E$18,0)</f>
        <v>0</v>
      </c>
      <c r="K25" s="37" t="e">
        <f t="shared" ref="K25:K29" si="8">J25*$B$21/10^3</f>
        <v>#REF!</v>
      </c>
    </row>
    <row r="26" spans="1:11" x14ac:dyDescent="0.25">
      <c r="G26" s="11">
        <f t="shared" si="2"/>
        <v>2037</v>
      </c>
      <c r="H26" s="36">
        <f t="shared" si="5"/>
        <v>0</v>
      </c>
      <c r="I26" s="35" t="e">
        <f t="shared" si="6"/>
        <v>#REF!</v>
      </c>
      <c r="J26" s="36">
        <f t="shared" si="7"/>
        <v>0</v>
      </c>
      <c r="K26" s="35" t="e">
        <f t="shared" si="8"/>
        <v>#REF!</v>
      </c>
    </row>
    <row r="27" spans="1:11" x14ac:dyDescent="0.25">
      <c r="G27" s="12">
        <f t="shared" si="2"/>
        <v>2038</v>
      </c>
      <c r="H27" s="36">
        <f t="shared" si="5"/>
        <v>0</v>
      </c>
      <c r="I27" s="37" t="e">
        <f t="shared" si="6"/>
        <v>#REF!</v>
      </c>
      <c r="J27" s="36">
        <f t="shared" si="7"/>
        <v>0</v>
      </c>
      <c r="K27" s="37" t="e">
        <f t="shared" si="8"/>
        <v>#REF!</v>
      </c>
    </row>
    <row r="28" spans="1:11" x14ac:dyDescent="0.25">
      <c r="G28" s="11">
        <f t="shared" si="2"/>
        <v>2039</v>
      </c>
      <c r="H28" s="36">
        <f t="shared" si="5"/>
        <v>0</v>
      </c>
      <c r="I28" s="35" t="e">
        <f t="shared" si="6"/>
        <v>#REF!</v>
      </c>
      <c r="J28" s="36">
        <f t="shared" si="7"/>
        <v>0</v>
      </c>
      <c r="K28" s="35" t="e">
        <f t="shared" si="8"/>
        <v>#REF!</v>
      </c>
    </row>
    <row r="29" spans="1:11" x14ac:dyDescent="0.25">
      <c r="G29" s="12">
        <f t="shared" si="2"/>
        <v>2040</v>
      </c>
      <c r="H29" s="36">
        <f>IF($G29&lt;($G$4+$E$5),$E$17,0)</f>
        <v>0</v>
      </c>
      <c r="I29" s="37" t="e">
        <f t="shared" si="6"/>
        <v>#REF!</v>
      </c>
      <c r="J29" s="36">
        <f>IF($G29&lt;($G$4+$E$5),$E$18,0)</f>
        <v>0</v>
      </c>
      <c r="K29" s="37" t="e">
        <f t="shared" si="8"/>
        <v>#REF!</v>
      </c>
    </row>
    <row r="31" spans="1:11" x14ac:dyDescent="0.25">
      <c r="A31" s="24"/>
    </row>
    <row r="53" spans="1:1" x14ac:dyDescent="0.25">
      <c r="A53" t="s">
        <v>10</v>
      </c>
    </row>
    <row r="54" spans="1:1" x14ac:dyDescent="0.25">
      <c r="A54" s="3" t="s">
        <v>12</v>
      </c>
    </row>
    <row r="55" spans="1:1" x14ac:dyDescent="0.25">
      <c r="A55" s="3" t="s">
        <v>11</v>
      </c>
    </row>
  </sheetData>
  <mergeCells count="2">
    <mergeCell ref="D6:E6"/>
    <mergeCell ref="D8:E8"/>
  </mergeCells>
  <conditionalFormatting sqref="B18:B19">
    <cfRule type="cellIs" dxfId="0" priority="1" operator="equal">
      <formula>0</formula>
    </cfRule>
  </conditionalFormatting>
  <pageMargins left="0.25" right="0.25" top="0.75" bottom="0.75" header="0.3" footer="0.3"/>
  <pageSetup paperSize="17" scale="82"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Drop Down 1">
              <controlPr defaultSize="0" autoLine="0" autoPict="0">
                <anchor moveWithCells="1">
                  <from>
                    <xdr:col>1</xdr:col>
                    <xdr:colOff>0</xdr:colOff>
                    <xdr:row>5</xdr:row>
                    <xdr:rowOff>0</xdr:rowOff>
                  </from>
                  <to>
                    <xdr:col>2</xdr:col>
                    <xdr:colOff>0</xdr:colOff>
                    <xdr:row>6</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8"/>
    <pageSetUpPr fitToPage="1"/>
  </sheetPr>
  <dimension ref="B3:S82"/>
  <sheetViews>
    <sheetView tabSelected="1" topLeftCell="A19" zoomScale="130" zoomScaleNormal="130" workbookViewId="0">
      <selection activeCell="F23" sqref="F23"/>
    </sheetView>
  </sheetViews>
  <sheetFormatPr defaultColWidth="9.140625" defaultRowHeight="15" x14ac:dyDescent="0.25"/>
  <cols>
    <col min="1" max="1" width="9.140625" style="108"/>
    <col min="2" max="2" width="45.140625" style="108" bestFit="1" customWidth="1"/>
    <col min="3" max="3" width="25.5703125" style="108" customWidth="1"/>
    <col min="4" max="4" width="6" style="110" customWidth="1"/>
    <col min="5" max="5" width="5.85546875" style="108" customWidth="1"/>
    <col min="6" max="6" width="23.85546875" style="108" customWidth="1"/>
    <col min="7" max="7" width="19.140625" style="108" customWidth="1"/>
    <col min="8" max="8" width="14.140625" style="108" customWidth="1"/>
    <col min="9" max="9" width="13.7109375" style="108" customWidth="1"/>
    <col min="10" max="10" width="22.42578125" style="108" customWidth="1"/>
    <col min="11" max="12" width="9.140625" style="108"/>
    <col min="13" max="13" width="11.5703125" style="108" bestFit="1" customWidth="1"/>
    <col min="14" max="16384" width="9.140625" style="108"/>
  </cols>
  <sheetData>
    <row r="3" spans="2:19" ht="18.75" x14ac:dyDescent="0.25">
      <c r="B3" s="105" t="s">
        <v>66</v>
      </c>
      <c r="C3" s="106"/>
      <c r="D3" s="107"/>
      <c r="E3" s="106"/>
      <c r="F3" s="106"/>
    </row>
    <row r="5" spans="2:19" x14ac:dyDescent="0.25">
      <c r="B5" s="109" t="s">
        <v>0</v>
      </c>
      <c r="E5" s="111"/>
      <c r="F5" s="108" t="s">
        <v>151</v>
      </c>
    </row>
    <row r="6" spans="2:19" x14ac:dyDescent="0.25">
      <c r="B6" s="111" t="s">
        <v>88</v>
      </c>
      <c r="C6" s="112"/>
      <c r="D6" s="113"/>
      <c r="E6" s="114"/>
      <c r="F6" s="108" t="s">
        <v>155</v>
      </c>
    </row>
    <row r="7" spans="2:19" x14ac:dyDescent="0.25">
      <c r="B7" s="111" t="s">
        <v>76</v>
      </c>
      <c r="C7" s="115" t="s">
        <v>77</v>
      </c>
      <c r="D7" s="116"/>
      <c r="E7" s="117"/>
      <c r="F7" s="108" t="s">
        <v>262</v>
      </c>
    </row>
    <row r="8" spans="2:19" x14ac:dyDescent="0.25">
      <c r="B8" s="111" t="s">
        <v>78</v>
      </c>
      <c r="C8" s="115" t="s">
        <v>79</v>
      </c>
      <c r="D8" s="116"/>
      <c r="E8" s="118"/>
      <c r="F8" s="108" t="s">
        <v>152</v>
      </c>
    </row>
    <row r="9" spans="2:19" x14ac:dyDescent="0.25">
      <c r="B9" s="111" t="s">
        <v>89</v>
      </c>
      <c r="C9" s="115" t="s">
        <v>259</v>
      </c>
      <c r="D9" s="116"/>
    </row>
    <row r="10" spans="2:19" x14ac:dyDescent="0.25">
      <c r="B10" s="111" t="s">
        <v>73</v>
      </c>
      <c r="C10" s="115" t="s">
        <v>260</v>
      </c>
      <c r="D10" s="116"/>
      <c r="E10" s="143" t="s">
        <v>263</v>
      </c>
    </row>
    <row r="11" spans="2:19" x14ac:dyDescent="0.25">
      <c r="B11" s="111" t="s">
        <v>74</v>
      </c>
      <c r="C11" s="115" t="s">
        <v>204</v>
      </c>
      <c r="D11" s="116"/>
    </row>
    <row r="12" spans="2:19" x14ac:dyDescent="0.25">
      <c r="B12" s="111" t="s">
        <v>75</v>
      </c>
      <c r="C12" s="115">
        <v>0.76</v>
      </c>
      <c r="D12" s="119"/>
      <c r="N12" s="238"/>
      <c r="O12" s="238"/>
      <c r="P12" s="238"/>
      <c r="Q12" s="238"/>
      <c r="R12" s="238"/>
      <c r="S12" s="238"/>
    </row>
    <row r="13" spans="2:19" x14ac:dyDescent="0.25">
      <c r="B13" s="111" t="s">
        <v>272</v>
      </c>
      <c r="C13" s="115"/>
      <c r="D13" s="116"/>
    </row>
    <row r="14" spans="2:19" x14ac:dyDescent="0.25">
      <c r="B14" s="111" t="s">
        <v>271</v>
      </c>
      <c r="C14" s="115"/>
      <c r="D14" s="116"/>
    </row>
    <row r="15" spans="2:19" x14ac:dyDescent="0.25">
      <c r="B15" s="120"/>
      <c r="C15" s="116"/>
      <c r="D15" s="116"/>
    </row>
    <row r="16" spans="2:19" x14ac:dyDescent="0.25">
      <c r="B16" s="109" t="s">
        <v>149</v>
      </c>
    </row>
    <row r="17" spans="2:13" x14ac:dyDescent="0.25">
      <c r="B17" s="111" t="s">
        <v>203</v>
      </c>
      <c r="C17" s="121">
        <v>2025</v>
      </c>
      <c r="D17" s="122"/>
      <c r="F17" s="198"/>
    </row>
    <row r="18" spans="2:13" x14ac:dyDescent="0.25">
      <c r="B18" s="111" t="s">
        <v>153</v>
      </c>
      <c r="C18" s="112" t="s">
        <v>141</v>
      </c>
      <c r="D18" s="120"/>
    </row>
    <row r="19" spans="2:13" x14ac:dyDescent="0.25">
      <c r="B19" s="117" t="s">
        <v>148</v>
      </c>
      <c r="C19" s="123">
        <f>VLOOKUP($C$18,'CRF Lookup Table'!$B$3:$F$74,2,FALSE)</f>
        <v>304</v>
      </c>
      <c r="D19" s="124"/>
    </row>
    <row r="20" spans="2:13" s="201" customFormat="1" ht="30" x14ac:dyDescent="0.25">
      <c r="B20" s="199" t="s">
        <v>166</v>
      </c>
      <c r="C20" s="200" t="str">
        <f>VLOOKUP($C$18,'CRF Lookup Table'!$B$3:$F$74,5,FALSE)</f>
        <v>Non-Intersection related (Roadway Related)</v>
      </c>
      <c r="D20" s="205"/>
      <c r="F20" s="202"/>
    </row>
    <row r="21" spans="2:13" x14ac:dyDescent="0.25">
      <c r="B21" s="117" t="s">
        <v>69</v>
      </c>
      <c r="C21" s="125">
        <f>VLOOKUP($C$18,'CRF Lookup Table'!$B$3:$F$74,3,FALSE)</f>
        <v>0.49</v>
      </c>
      <c r="D21" s="126"/>
    </row>
    <row r="22" spans="2:13" x14ac:dyDescent="0.25">
      <c r="B22" s="117" t="s">
        <v>68</v>
      </c>
      <c r="C22" s="123">
        <f>VLOOKUP($C$18,'CRF Lookup Table'!$B$3:$F$74,4,FALSE)</f>
        <v>15</v>
      </c>
      <c r="D22" s="126"/>
    </row>
    <row r="23" spans="2:13" x14ac:dyDescent="0.25">
      <c r="M23" s="127"/>
    </row>
    <row r="24" spans="2:13" x14ac:dyDescent="0.25">
      <c r="B24" s="120"/>
      <c r="C24" s="116"/>
      <c r="D24" s="116"/>
    </row>
    <row r="25" spans="2:13" x14ac:dyDescent="0.25">
      <c r="B25" s="128" t="s">
        <v>59</v>
      </c>
      <c r="C25" s="129"/>
      <c r="D25" s="129"/>
      <c r="M25" s="127"/>
    </row>
    <row r="26" spans="2:13" x14ac:dyDescent="0.25">
      <c r="B26" s="111" t="s">
        <v>274</v>
      </c>
      <c r="C26" s="130">
        <v>30000</v>
      </c>
      <c r="D26" s="131"/>
      <c r="F26" s="233"/>
      <c r="H26" s="190"/>
      <c r="J26" s="191"/>
    </row>
    <row r="27" spans="2:13" x14ac:dyDescent="0.25">
      <c r="B27" s="117" t="s">
        <v>275</v>
      </c>
      <c r="C27" s="192">
        <f>Calculations!F4</f>
        <v>31280.141864966747</v>
      </c>
      <c r="F27" s="233"/>
      <c r="G27" s="233"/>
      <c r="H27" s="190"/>
      <c r="J27" s="191"/>
    </row>
    <row r="28" spans="2:13" x14ac:dyDescent="0.25">
      <c r="H28" s="190"/>
      <c r="J28" s="191"/>
    </row>
    <row r="29" spans="2:13" s="232" customFormat="1" x14ac:dyDescent="0.25">
      <c r="B29" s="229" t="s">
        <v>273</v>
      </c>
      <c r="C29" s="230">
        <v>15420</v>
      </c>
      <c r="D29" s="231"/>
    </row>
    <row r="30" spans="2:13" x14ac:dyDescent="0.25">
      <c r="B30" s="114" t="s">
        <v>258</v>
      </c>
      <c r="C30" s="133">
        <v>23508</v>
      </c>
      <c r="D30" s="131"/>
    </row>
    <row r="31" spans="2:13" x14ac:dyDescent="0.25">
      <c r="B31" s="114" t="s">
        <v>164</v>
      </c>
      <c r="C31" s="134">
        <v>17118</v>
      </c>
      <c r="D31" s="135"/>
      <c r="H31" s="189"/>
    </row>
    <row r="32" spans="2:13" x14ac:dyDescent="0.25">
      <c r="B32" s="114" t="s">
        <v>165</v>
      </c>
      <c r="C32" s="134">
        <v>31094</v>
      </c>
      <c r="D32" s="135"/>
    </row>
    <row r="33" spans="2:9" x14ac:dyDescent="0.25">
      <c r="B33" s="114" t="s">
        <v>157</v>
      </c>
      <c r="C33" s="133">
        <v>31374</v>
      </c>
      <c r="D33" s="131"/>
    </row>
    <row r="34" spans="2:9" x14ac:dyDescent="0.25">
      <c r="B34" s="114" t="s">
        <v>86</v>
      </c>
      <c r="C34" s="133">
        <v>31094</v>
      </c>
      <c r="D34" s="131"/>
    </row>
    <row r="36" spans="2:9" ht="18.75" x14ac:dyDescent="0.25">
      <c r="B36" s="105" t="s">
        <v>67</v>
      </c>
      <c r="C36" s="106"/>
      <c r="D36" s="107"/>
      <c r="E36" s="106"/>
      <c r="F36" s="106"/>
      <c r="I36" s="136"/>
    </row>
    <row r="38" spans="2:9" x14ac:dyDescent="0.25">
      <c r="B38" s="137" t="s">
        <v>65</v>
      </c>
    </row>
    <row r="39" spans="2:9" x14ac:dyDescent="0.25">
      <c r="B39" s="118" t="s">
        <v>254</v>
      </c>
      <c r="C39" s="138">
        <f>Calculations!R37</f>
        <v>1921.1536483850568</v>
      </c>
      <c r="D39" s="139"/>
      <c r="E39" s="140"/>
    </row>
    <row r="81" spans="2:2" x14ac:dyDescent="0.25">
      <c r="B81" s="85"/>
    </row>
    <row r="82" spans="2:2" x14ac:dyDescent="0.25">
      <c r="B82" s="85"/>
    </row>
  </sheetData>
  <mergeCells count="2">
    <mergeCell ref="N12:P12"/>
    <mergeCell ref="Q12:S12"/>
  </mergeCells>
  <dataValidations count="2">
    <dataValidation type="list" allowBlank="1" showInputMessage="1" showErrorMessage="1" sqref="C7:D7" xr:uid="{00000000-0002-0000-0300-000000000000}">
      <formula1>#REF!</formula1>
    </dataValidation>
    <dataValidation type="list" allowBlank="1" showInputMessage="1" showErrorMessage="1" sqref="C8:D8" xr:uid="{00000000-0002-0000-0300-000001000000}">
      <formula1>#REF!</formula1>
    </dataValidation>
  </dataValidations>
  <pageMargins left="0.25" right="0.25" top="0.75" bottom="0.75" header="0.3" footer="0.3"/>
  <pageSetup scale="97"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3000000}">
          <x14:formula1>
            <xm:f>Calculations!$J$7:$J$36</xm:f>
          </x14:formula1>
          <xm:sqref>D21</xm:sqref>
        </x14:dataValidation>
        <x14:dataValidation type="list" allowBlank="1" showInputMessage="1" showErrorMessage="1" xr:uid="{E82BF87A-3ACB-499E-B14A-B2D01385F60A}">
          <x14:formula1>
            <xm:f>Calculations!$J$11:$J$17</xm:f>
          </x14:formula1>
          <xm:sqref>C17</xm:sqref>
        </x14:dataValidation>
        <x14:dataValidation type="list" allowBlank="1" showInputMessage="1" showErrorMessage="1" xr:uid="{00000000-0002-0000-0300-000002000000}">
          <x14:formula1>
            <xm:f>'CRF Lookup Table'!$B$4:$B$71</xm:f>
          </x14:formula1>
          <xm:sqref>C18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7C7D1-951F-4AA1-AD61-E81EAFF03E0B}">
  <sheetPr>
    <tabColor theme="8"/>
  </sheetPr>
  <dimension ref="B1:L26"/>
  <sheetViews>
    <sheetView topLeftCell="A16" zoomScale="120" zoomScaleNormal="120" workbookViewId="0">
      <selection activeCell="C5" sqref="C5"/>
    </sheetView>
  </sheetViews>
  <sheetFormatPr defaultRowHeight="15" x14ac:dyDescent="0.25"/>
  <cols>
    <col min="2" max="2" width="27.7109375" bestFit="1" customWidth="1"/>
    <col min="3" max="3" width="15" customWidth="1"/>
    <col min="4" max="4" width="17.140625" customWidth="1"/>
    <col min="5" max="5" width="16.42578125" bestFit="1" customWidth="1"/>
    <col min="6" max="6" width="21.5703125" customWidth="1"/>
    <col min="7" max="7" width="2.85546875" customWidth="1"/>
    <col min="8" max="8" width="27.5703125" customWidth="1"/>
    <col min="9" max="9" width="11.7109375" customWidth="1"/>
    <col min="10" max="10" width="15.140625" bestFit="1" customWidth="1"/>
    <col min="11" max="11" width="16.42578125" bestFit="1" customWidth="1"/>
    <col min="12" max="12" width="29.5703125" customWidth="1"/>
    <col min="13" max="13" width="24.140625" customWidth="1"/>
  </cols>
  <sheetData>
    <row r="1" spans="2:12" ht="33.75" customHeight="1" x14ac:dyDescent="0.25">
      <c r="B1" s="203"/>
      <c r="C1" s="243" t="s">
        <v>264</v>
      </c>
      <c r="D1" s="243"/>
      <c r="E1" s="117"/>
      <c r="F1" s="244" t="s">
        <v>262</v>
      </c>
      <c r="G1" s="244"/>
      <c r="H1" s="244"/>
    </row>
    <row r="2" spans="2:12" x14ac:dyDescent="0.25">
      <c r="E2" s="62"/>
    </row>
    <row r="3" spans="2:12" x14ac:dyDescent="0.25">
      <c r="B3" s="239" t="s">
        <v>257</v>
      </c>
      <c r="C3" s="240"/>
      <c r="D3" s="240"/>
      <c r="E3" s="240"/>
      <c r="F3" s="241"/>
      <c r="H3" s="239" t="s">
        <v>225</v>
      </c>
      <c r="I3" s="240"/>
      <c r="J3" s="240"/>
      <c r="K3" s="240"/>
      <c r="L3" s="241"/>
    </row>
    <row r="4" spans="2:12" s="207" customFormat="1" ht="75" x14ac:dyDescent="0.25">
      <c r="B4" s="72" t="s">
        <v>158</v>
      </c>
      <c r="C4" s="169" t="s">
        <v>256</v>
      </c>
      <c r="D4" s="72" t="s">
        <v>235</v>
      </c>
      <c r="E4" s="72" t="s">
        <v>276</v>
      </c>
      <c r="F4" s="72" t="s">
        <v>266</v>
      </c>
      <c r="H4" s="72" t="s">
        <v>158</v>
      </c>
      <c r="I4" s="169" t="s">
        <v>255</v>
      </c>
      <c r="J4" s="72" t="s">
        <v>235</v>
      </c>
      <c r="K4" s="72" t="s">
        <v>277</v>
      </c>
      <c r="L4" s="72" t="s">
        <v>267</v>
      </c>
    </row>
    <row r="5" spans="2:12" x14ac:dyDescent="0.25">
      <c r="B5" s="203" t="s">
        <v>161</v>
      </c>
      <c r="C5" s="204">
        <v>0</v>
      </c>
      <c r="D5" s="141">
        <f>C5/5</f>
        <v>0</v>
      </c>
      <c r="E5" s="142">
        <f>(D5*1000000)/('Inputs &amp; Outputs'!$C$12*_2021_Volume_ADT*365)</f>
        <v>0</v>
      </c>
      <c r="F5" s="142">
        <f>(('Inputs &amp; Outputs'!$C$27*'Inputs &amp; Outputs'!$C$12/1000000)*365)*E5</f>
        <v>0</v>
      </c>
      <c r="H5" s="203" t="s">
        <v>161</v>
      </c>
      <c r="I5" s="204">
        <v>0</v>
      </c>
      <c r="J5" s="141">
        <f>I5/5</f>
        <v>0</v>
      </c>
      <c r="K5" s="142">
        <f>(J5*1000000)/('Inputs &amp; Outputs'!$C$12*_2021_Volume_ADT*365)</f>
        <v>0</v>
      </c>
      <c r="L5" s="142">
        <f>(('Inputs &amp; Outputs'!$C$27*'Inputs &amp; Outputs'!$C$12/1000000)*365)*K5</f>
        <v>0</v>
      </c>
    </row>
    <row r="6" spans="2:12" x14ac:dyDescent="0.25">
      <c r="B6" s="203" t="s">
        <v>226</v>
      </c>
      <c r="C6" s="204">
        <v>1</v>
      </c>
      <c r="D6" s="141">
        <f>C6/5</f>
        <v>0.2</v>
      </c>
      <c r="E6" s="142">
        <f>(D6*1000000)/('Inputs &amp; Outputs'!$C$12*_2021_Volume_ADT*365)</f>
        <v>2.4032684450853159E-2</v>
      </c>
      <c r="F6" s="142">
        <f>(('Inputs &amp; Outputs'!$C$27*'Inputs &amp; Outputs'!$C$12/1000000)*365)*E6</f>
        <v>0.20853427909977834</v>
      </c>
      <c r="H6" s="203" t="s">
        <v>226</v>
      </c>
      <c r="I6" s="204">
        <v>0</v>
      </c>
      <c r="J6" s="141">
        <f>I6/5</f>
        <v>0</v>
      </c>
      <c r="K6" s="142">
        <f>(J6*1000000)/('Inputs &amp; Outputs'!$C$12*_2021_Volume_ADT*365)</f>
        <v>0</v>
      </c>
      <c r="L6" s="142">
        <f>(('Inputs &amp; Outputs'!$C$27*'Inputs &amp; Outputs'!$C$12/1000000)*365)*K6</f>
        <v>0</v>
      </c>
    </row>
    <row r="7" spans="2:12" x14ac:dyDescent="0.25">
      <c r="B7" s="203" t="s">
        <v>227</v>
      </c>
      <c r="C7" s="204">
        <v>6</v>
      </c>
      <c r="D7" s="141">
        <f t="shared" ref="D7:D8" si="0">C7/5</f>
        <v>1.2</v>
      </c>
      <c r="E7" s="142">
        <f>(D7*1000000)/('Inputs &amp; Outputs'!$C$12*_2021_Volume_ADT*365)</f>
        <v>0.14419610670511895</v>
      </c>
      <c r="F7" s="142">
        <f>(('Inputs &amp; Outputs'!$C$27*'Inputs &amp; Outputs'!$C$12/1000000)*365)*E7</f>
        <v>1.2512056745986699</v>
      </c>
      <c r="H7" s="203" t="s">
        <v>227</v>
      </c>
      <c r="I7" s="204">
        <v>7</v>
      </c>
      <c r="J7" s="141">
        <f t="shared" ref="J7:J8" si="1">I7/5</f>
        <v>1.4</v>
      </c>
      <c r="K7" s="142">
        <f>(J7*1000000)/('Inputs &amp; Outputs'!$C$12*_2021_Volume_ADT*365)</f>
        <v>0.16822879115597211</v>
      </c>
      <c r="L7" s="142">
        <f>(('Inputs &amp; Outputs'!$C$27*'Inputs &amp; Outputs'!$C$12/1000000)*365)*K7</f>
        <v>1.4597399536984483</v>
      </c>
    </row>
    <row r="8" spans="2:12" x14ac:dyDescent="0.25">
      <c r="B8" s="203" t="s">
        <v>228</v>
      </c>
      <c r="C8" s="204">
        <v>14</v>
      </c>
      <c r="D8" s="141">
        <f t="shared" si="0"/>
        <v>2.8</v>
      </c>
      <c r="E8" s="142">
        <f>(D8*1000000)/('Inputs &amp; Outputs'!$C$12*_2021_Volume_ADT*365)</f>
        <v>0.33645758231194423</v>
      </c>
      <c r="F8" s="142">
        <f>(('Inputs &amp; Outputs'!$C$27*'Inputs &amp; Outputs'!$C$12/1000000)*365)*E8</f>
        <v>2.9194799073968967</v>
      </c>
      <c r="H8" s="203" t="s">
        <v>228</v>
      </c>
      <c r="I8" s="204">
        <v>28</v>
      </c>
      <c r="J8" s="141">
        <f t="shared" si="1"/>
        <v>5.6</v>
      </c>
      <c r="K8" s="142">
        <f>(J8*1000000)/('Inputs &amp; Outputs'!$C$12*_2021_Volume_ADT*365)</f>
        <v>0.67291516462388845</v>
      </c>
      <c r="L8" s="142">
        <f>(('Inputs &amp; Outputs'!$C$27*'Inputs &amp; Outputs'!$C$12/1000000)*365)*K8</f>
        <v>5.8389598147937933</v>
      </c>
    </row>
    <row r="9" spans="2:12" x14ac:dyDescent="0.25">
      <c r="B9" s="203" t="s">
        <v>162</v>
      </c>
      <c r="C9" s="204">
        <v>0</v>
      </c>
      <c r="D9" s="141">
        <f>C9/5</f>
        <v>0</v>
      </c>
      <c r="E9" s="142">
        <f>(D9*1000000)/('Inputs &amp; Outputs'!$C$12*_2021_Volume_ADT*365)</f>
        <v>0</v>
      </c>
      <c r="F9" s="142">
        <f>(('Inputs &amp; Outputs'!$C$27*'Inputs &amp; Outputs'!$C$12/1000000)*365)*E9</f>
        <v>0</v>
      </c>
      <c r="H9" s="203" t="s">
        <v>162</v>
      </c>
      <c r="I9" s="204">
        <v>0</v>
      </c>
      <c r="J9" s="141">
        <f>I9/5</f>
        <v>0</v>
      </c>
      <c r="K9" s="142">
        <f>(J9*1000000)/('Inputs &amp; Outputs'!$C$12*_2021_Volume_ADT*365)</f>
        <v>0</v>
      </c>
      <c r="L9" s="142">
        <f>(('Inputs &amp; Outputs'!$C$27*'Inputs &amp; Outputs'!$C$12/1000000)*365)*K9</f>
        <v>0</v>
      </c>
    </row>
    <row r="10" spans="2:12" x14ac:dyDescent="0.25">
      <c r="B10" s="203" t="s">
        <v>230</v>
      </c>
      <c r="C10" s="204">
        <v>1</v>
      </c>
      <c r="D10" s="141">
        <f>C10/5</f>
        <v>0.2</v>
      </c>
      <c r="E10" s="142">
        <f>(D10*1000000)/('Inputs &amp; Outputs'!$C$12*_2021_Volume_ADT*365)</f>
        <v>2.4032684450853159E-2</v>
      </c>
      <c r="F10" s="142">
        <f>(('Inputs &amp; Outputs'!$C$27*'Inputs &amp; Outputs'!$C$12/1000000)*365)*E10</f>
        <v>0.20853427909977834</v>
      </c>
      <c r="H10" s="203" t="s">
        <v>230</v>
      </c>
      <c r="I10" s="204">
        <v>2</v>
      </c>
      <c r="J10" s="141">
        <f>I10/5</f>
        <v>0.4</v>
      </c>
      <c r="K10" s="142">
        <f>(J10*1000000)/('Inputs &amp; Outputs'!$C$12*_2021_Volume_ADT*365)</f>
        <v>4.8065368901706318E-2</v>
      </c>
      <c r="L10" s="142">
        <f>(('Inputs &amp; Outputs'!$C$27*'Inputs &amp; Outputs'!$C$12/1000000)*365)*K10</f>
        <v>0.41706855819955668</v>
      </c>
    </row>
    <row r="11" spans="2:12" x14ac:dyDescent="0.25">
      <c r="B11" s="203" t="s">
        <v>229</v>
      </c>
      <c r="C11" s="204">
        <v>1</v>
      </c>
      <c r="D11" s="141">
        <f t="shared" ref="D11:D12" si="2">C11/5</f>
        <v>0.2</v>
      </c>
      <c r="E11" s="142">
        <f>(D11*1000000)/('Inputs &amp; Outputs'!$C$12*_2021_Volume_ADT*365)</f>
        <v>2.4032684450853159E-2</v>
      </c>
      <c r="F11" s="142">
        <f>(('Inputs &amp; Outputs'!$C$27*'Inputs &amp; Outputs'!$C$12/1000000)*365)*E11</f>
        <v>0.20853427909977834</v>
      </c>
      <c r="H11" s="203" t="s">
        <v>229</v>
      </c>
      <c r="I11" s="204">
        <v>3</v>
      </c>
      <c r="J11" s="141">
        <f t="shared" ref="J11:J12" si="3">I11/5</f>
        <v>0.6</v>
      </c>
      <c r="K11" s="142">
        <f>(J11*1000000)/('Inputs &amp; Outputs'!$C$12*_2021_Volume_ADT*365)</f>
        <v>7.2098053352559477E-2</v>
      </c>
      <c r="L11" s="142">
        <f>(('Inputs &amp; Outputs'!$C$27*'Inputs &amp; Outputs'!$C$12/1000000)*365)*K11</f>
        <v>0.62560283729933497</v>
      </c>
    </row>
    <row r="12" spans="2:12" x14ac:dyDescent="0.25">
      <c r="B12" s="203" t="s">
        <v>231</v>
      </c>
      <c r="C12" s="204">
        <v>0</v>
      </c>
      <c r="D12" s="141">
        <f t="shared" si="2"/>
        <v>0</v>
      </c>
      <c r="E12" s="142">
        <f>(D12*1000000)/('Inputs &amp; Outputs'!$C$12*_2021_Volume_ADT*365)</f>
        <v>0</v>
      </c>
      <c r="F12" s="142">
        <f>(('Inputs &amp; Outputs'!$C$27*'Inputs &amp; Outputs'!$C$12/1000000)*365)*E12</f>
        <v>0</v>
      </c>
      <c r="H12" s="203" t="s">
        <v>231</v>
      </c>
      <c r="I12" s="204">
        <v>1</v>
      </c>
      <c r="J12" s="141">
        <f t="shared" si="3"/>
        <v>0.2</v>
      </c>
      <c r="K12" s="142">
        <f>(J12*1000000)/('Inputs &amp; Outputs'!$C$12*_2021_Volume_ADT*365)</f>
        <v>2.4032684450853159E-2</v>
      </c>
      <c r="L12" s="142">
        <f>(('Inputs &amp; Outputs'!$C$27*'Inputs &amp; Outputs'!$C$12/1000000)*365)*K12</f>
        <v>0.20853427909977834</v>
      </c>
    </row>
    <row r="13" spans="2:12" x14ac:dyDescent="0.25">
      <c r="B13" s="203" t="s">
        <v>163</v>
      </c>
      <c r="C13" s="204">
        <v>0</v>
      </c>
      <c r="D13" s="141">
        <f>C13/5</f>
        <v>0</v>
      </c>
      <c r="E13" s="142">
        <f>(D13*1000000)/('Inputs &amp; Outputs'!$C$12*_2021_Volume_ADT*365)</f>
        <v>0</v>
      </c>
      <c r="F13" s="142">
        <f>(('Inputs &amp; Outputs'!$C$27*'Inputs &amp; Outputs'!$C$12/1000000)*365)*E13</f>
        <v>0</v>
      </c>
      <c r="H13" s="203" t="s">
        <v>163</v>
      </c>
      <c r="I13" s="204">
        <v>0</v>
      </c>
      <c r="J13" s="141">
        <f>I13/5</f>
        <v>0</v>
      </c>
      <c r="K13" s="142">
        <f>(J13*1000000)/('Inputs &amp; Outputs'!$C$12*_2021_Volume_ADT*365)</f>
        <v>0</v>
      </c>
      <c r="L13" s="142">
        <f>(('Inputs &amp; Outputs'!$C$27*'Inputs &amp; Outputs'!$C$12/1000000)*365)*K13</f>
        <v>0</v>
      </c>
    </row>
    <row r="14" spans="2:12" x14ac:dyDescent="0.25">
      <c r="B14" s="203" t="s">
        <v>232</v>
      </c>
      <c r="C14" s="204">
        <v>0</v>
      </c>
      <c r="D14" s="141">
        <f>C14/5</f>
        <v>0</v>
      </c>
      <c r="E14" s="142">
        <f>(D14*1000000)/('Inputs &amp; Outputs'!$C$12*_2021_Volume_ADT*365)</f>
        <v>0</v>
      </c>
      <c r="F14" s="142">
        <f>(('Inputs &amp; Outputs'!$C$27*'Inputs &amp; Outputs'!$C$12/1000000)*365)*E14</f>
        <v>0</v>
      </c>
      <c r="H14" s="203" t="s">
        <v>232</v>
      </c>
      <c r="I14" s="204">
        <v>0</v>
      </c>
      <c r="J14" s="141">
        <f>I14/5</f>
        <v>0</v>
      </c>
      <c r="K14" s="142">
        <f>(J14*1000000)/('Inputs &amp; Outputs'!$C$12*_2021_Volume_ADT*365)</f>
        <v>0</v>
      </c>
      <c r="L14" s="142">
        <f>(('Inputs &amp; Outputs'!$C$27*'Inputs &amp; Outputs'!$C$12/1000000)*365)*K14</f>
        <v>0</v>
      </c>
    </row>
    <row r="15" spans="2:12" x14ac:dyDescent="0.25">
      <c r="B15" s="203" t="s">
        <v>233</v>
      </c>
      <c r="C15" s="204">
        <v>0</v>
      </c>
      <c r="D15" s="141">
        <f t="shared" ref="D15:D16" si="4">C15/5</f>
        <v>0</v>
      </c>
      <c r="E15" s="142">
        <f>(D15*1000000)/('Inputs &amp; Outputs'!$C$12*_2021_Volume_ADT*365)</f>
        <v>0</v>
      </c>
      <c r="F15" s="142">
        <f>(('Inputs &amp; Outputs'!$C$27*'Inputs &amp; Outputs'!$C$12/1000000)*365)*E15</f>
        <v>0</v>
      </c>
      <c r="H15" s="203" t="s">
        <v>233</v>
      </c>
      <c r="I15" s="204">
        <v>0</v>
      </c>
      <c r="J15" s="141">
        <f t="shared" ref="J15:J16" si="5">I15/5</f>
        <v>0</v>
      </c>
      <c r="K15" s="142">
        <f>(J15*1000000)/('Inputs &amp; Outputs'!$C$12*_2021_Volume_ADT*365)</f>
        <v>0</v>
      </c>
      <c r="L15" s="142">
        <f>(('Inputs &amp; Outputs'!$C$27*'Inputs &amp; Outputs'!$C$12/1000000)*365)*K15</f>
        <v>0</v>
      </c>
    </row>
    <row r="16" spans="2:12" x14ac:dyDescent="0.25">
      <c r="B16" s="203" t="s">
        <v>234</v>
      </c>
      <c r="C16" s="204">
        <v>0</v>
      </c>
      <c r="D16" s="141">
        <f t="shared" si="4"/>
        <v>0</v>
      </c>
      <c r="E16" s="142">
        <f>(D16*1000000)/('Inputs &amp; Outputs'!$C$12*_2021_Volume_ADT*365)</f>
        <v>0</v>
      </c>
      <c r="F16" s="142">
        <f>(('Inputs &amp; Outputs'!$C$27*'Inputs &amp; Outputs'!$C$12/1000000)*365)*E16</f>
        <v>0</v>
      </c>
      <c r="H16" s="203" t="s">
        <v>234</v>
      </c>
      <c r="I16" s="204">
        <v>0</v>
      </c>
      <c r="J16" s="141">
        <f t="shared" si="5"/>
        <v>0</v>
      </c>
      <c r="K16" s="142">
        <f>(J16*1000000)/('Inputs &amp; Outputs'!$C$12*_2021_Volume_ADT*365)</f>
        <v>0</v>
      </c>
      <c r="L16" s="142">
        <f>(('Inputs &amp; Outputs'!$C$27*'Inputs &amp; Outputs'!$C$12/1000000)*365)*K16</f>
        <v>0</v>
      </c>
    </row>
    <row r="17" spans="2:12" x14ac:dyDescent="0.25">
      <c r="B17" s="203" t="s">
        <v>159</v>
      </c>
      <c r="C17" s="204">
        <f>C5+C9+C13</f>
        <v>0</v>
      </c>
      <c r="D17" s="141">
        <f>C17/5</f>
        <v>0</v>
      </c>
      <c r="E17" s="142">
        <f>(D17*1000000)/('Inputs &amp; Outputs'!$C$12*_2021_Volume_ADT*365)</f>
        <v>0</v>
      </c>
      <c r="F17" s="142">
        <f>(('Inputs &amp; Outputs'!$C$27*'Inputs &amp; Outputs'!$C$12/1000000)*365)*E17</f>
        <v>0</v>
      </c>
      <c r="H17" s="203" t="s">
        <v>159</v>
      </c>
      <c r="I17" s="204">
        <f>I5+I9+I13</f>
        <v>0</v>
      </c>
      <c r="J17" s="141">
        <f>I17/5</f>
        <v>0</v>
      </c>
      <c r="K17" s="142">
        <f>(J17*1000000)/('Inputs &amp; Outputs'!$C$12*_2021_Volume_ADT*365)</f>
        <v>0</v>
      </c>
      <c r="L17" s="142">
        <f>(('Inputs &amp; Outputs'!$C$27*'Inputs &amp; Outputs'!$C$12/1000000)*365)*K17</f>
        <v>0</v>
      </c>
    </row>
    <row r="18" spans="2:12" x14ac:dyDescent="0.25">
      <c r="B18" s="203" t="s">
        <v>236</v>
      </c>
      <c r="C18" s="204">
        <f>C6+C10+C14</f>
        <v>2</v>
      </c>
      <c r="D18" s="141">
        <f>C18/5</f>
        <v>0.4</v>
      </c>
      <c r="E18" s="142">
        <f>(D18*1000000)/('Inputs &amp; Outputs'!$C$12*_2021_Volume_ADT*365)</f>
        <v>4.8065368901706318E-2</v>
      </c>
      <c r="F18" s="142">
        <f>(('Inputs &amp; Outputs'!$C$27*'Inputs &amp; Outputs'!$C$12/1000000)*365)*E18</f>
        <v>0.41706855819955668</v>
      </c>
      <c r="H18" s="203" t="s">
        <v>160</v>
      </c>
      <c r="I18" s="204">
        <f>I6+I10+I14</f>
        <v>2</v>
      </c>
      <c r="J18" s="141">
        <f>I18/5</f>
        <v>0.4</v>
      </c>
      <c r="K18" s="142">
        <f>(J18*1000000)/('Inputs &amp; Outputs'!$C$12*_2021_Volume_ADT*365)</f>
        <v>4.8065368901706318E-2</v>
      </c>
      <c r="L18" s="142">
        <f>(('Inputs &amp; Outputs'!$C$27*'Inputs &amp; Outputs'!$C$12/1000000)*365)*K18</f>
        <v>0.41706855819955668</v>
      </c>
    </row>
    <row r="19" spans="2:12" x14ac:dyDescent="0.25">
      <c r="B19" s="203" t="s">
        <v>237</v>
      </c>
      <c r="C19" s="204">
        <f>C7+C11+C15</f>
        <v>7</v>
      </c>
      <c r="D19" s="141">
        <f>C19/5</f>
        <v>1.4</v>
      </c>
      <c r="E19" s="142">
        <f>(D19*1000000)/('Inputs &amp; Outputs'!$C$12*_2021_Volume_ADT*365)</f>
        <v>0.16822879115597211</v>
      </c>
      <c r="F19" s="142">
        <f>(('Inputs &amp; Outputs'!$C$27*'Inputs &amp; Outputs'!$C$12/1000000)*365)*E19</f>
        <v>1.4597399536984483</v>
      </c>
      <c r="H19" s="203" t="s">
        <v>160</v>
      </c>
      <c r="I19" s="204">
        <f>I7+I11+I15</f>
        <v>10</v>
      </c>
      <c r="J19" s="141">
        <f>I19/5</f>
        <v>2</v>
      </c>
      <c r="K19" s="142">
        <f>(J19*1000000)/('Inputs &amp; Outputs'!$C$12*_2021_Volume_ADT*365)</f>
        <v>0.24032684450853159</v>
      </c>
      <c r="L19" s="142">
        <f>(('Inputs &amp; Outputs'!$C$27*'Inputs &amp; Outputs'!$C$12/1000000)*365)*K19</f>
        <v>2.0853427909977835</v>
      </c>
    </row>
    <row r="20" spans="2:12" x14ac:dyDescent="0.25">
      <c r="B20" s="203" t="s">
        <v>238</v>
      </c>
      <c r="C20" s="204">
        <f>C8+C12+C16</f>
        <v>14</v>
      </c>
      <c r="D20" s="141">
        <f>C20/5</f>
        <v>2.8</v>
      </c>
      <c r="E20" s="142">
        <f>(D20*1000000)/('Inputs &amp; Outputs'!$C$12*_2021_Volume_ADT*365)</f>
        <v>0.33645758231194423</v>
      </c>
      <c r="F20" s="142">
        <f>(('Inputs &amp; Outputs'!$C$27*'Inputs &amp; Outputs'!$C$12/1000000)*365)*E20</f>
        <v>2.9194799073968967</v>
      </c>
      <c r="H20" s="203" t="s">
        <v>160</v>
      </c>
      <c r="I20" s="204">
        <f>I8+I12+I16</f>
        <v>29</v>
      </c>
      <c r="J20" s="141">
        <f>I20/5</f>
        <v>5.8</v>
      </c>
      <c r="K20" s="142">
        <f>(J20*1000000)/('Inputs &amp; Outputs'!$C$12*_2021_Volume_ADT*365)</f>
        <v>0.69694784907474161</v>
      </c>
      <c r="L20" s="142">
        <f>(('Inputs &amp; Outputs'!$C$27*'Inputs &amp; Outputs'!$C$12/1000000)*365)*K20</f>
        <v>6.0474940938935715</v>
      </c>
    </row>
    <row r="21" spans="2:12" x14ac:dyDescent="0.25">
      <c r="E21" s="108"/>
      <c r="F21" s="108"/>
      <c r="K21" s="108"/>
      <c r="L21" s="108"/>
    </row>
    <row r="22" spans="2:12" s="207" customFormat="1" ht="15" customHeight="1" x14ac:dyDescent="0.25">
      <c r="B22" s="242" t="s">
        <v>268</v>
      </c>
      <c r="C22" s="242"/>
      <c r="D22" s="242"/>
      <c r="E22" s="242"/>
      <c r="F22" s="242"/>
      <c r="K22" s="208"/>
      <c r="L22" s="208"/>
    </row>
    <row r="23" spans="2:12" ht="30" x14ac:dyDescent="0.25">
      <c r="B23" s="72"/>
      <c r="C23" s="72" t="s">
        <v>159</v>
      </c>
      <c r="D23" s="72" t="s">
        <v>236</v>
      </c>
      <c r="E23" s="72" t="s">
        <v>237</v>
      </c>
      <c r="F23" s="72" t="s">
        <v>238</v>
      </c>
      <c r="I23" s="234"/>
      <c r="K23" s="132"/>
      <c r="L23" s="108"/>
    </row>
    <row r="24" spans="2:12" ht="30" x14ac:dyDescent="0.25">
      <c r="B24" s="72" t="s">
        <v>269</v>
      </c>
      <c r="C24" s="188">
        <f>$F$17</f>
        <v>0</v>
      </c>
      <c r="D24" s="188">
        <f>$F$18</f>
        <v>0.41706855819955668</v>
      </c>
      <c r="E24" s="188">
        <f>$F$19</f>
        <v>1.4597399536984483</v>
      </c>
      <c r="F24" s="188">
        <f>$F$20</f>
        <v>2.9194799073968967</v>
      </c>
    </row>
    <row r="25" spans="2:12" x14ac:dyDescent="0.25">
      <c r="B25" s="72" t="s">
        <v>170</v>
      </c>
      <c r="C25" s="188">
        <f>$L$17</f>
        <v>0</v>
      </c>
      <c r="D25" s="188">
        <f>$L$18</f>
        <v>0.41706855819955668</v>
      </c>
      <c r="E25" s="188">
        <f>$L$19</f>
        <v>2.0853427909977835</v>
      </c>
      <c r="F25" s="188">
        <f>$L$20</f>
        <v>6.0474940938935715</v>
      </c>
    </row>
    <row r="26" spans="2:12" x14ac:dyDescent="0.25">
      <c r="B26" s="72" t="s">
        <v>173</v>
      </c>
      <c r="C26" s="188">
        <f>SUM(C24:C25)</f>
        <v>0</v>
      </c>
      <c r="D26" s="188">
        <f t="shared" ref="D26:F26" si="6">SUM(D24:D25)</f>
        <v>0.83413711639911337</v>
      </c>
      <c r="E26" s="188">
        <f t="shared" si="6"/>
        <v>3.5450827446962316</v>
      </c>
      <c r="F26" s="188">
        <f t="shared" si="6"/>
        <v>8.9669740012904686</v>
      </c>
    </row>
  </sheetData>
  <mergeCells count="5">
    <mergeCell ref="B3:F3"/>
    <mergeCell ref="H3:L3"/>
    <mergeCell ref="B22:F22"/>
    <mergeCell ref="C1:D1"/>
    <mergeCell ref="F1:H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theme="8"/>
    <pageSetUpPr fitToPage="1"/>
  </sheetPr>
  <dimension ref="A3:R37"/>
  <sheetViews>
    <sheetView zoomScaleNormal="100" workbookViewId="0">
      <selection activeCell="G22" sqref="G22"/>
    </sheetView>
  </sheetViews>
  <sheetFormatPr defaultColWidth="9.140625" defaultRowHeight="15" x14ac:dyDescent="0.25"/>
  <cols>
    <col min="1" max="1" width="26.7109375" style="3" customWidth="1"/>
    <col min="2" max="2" width="13.85546875" style="3" customWidth="1"/>
    <col min="3" max="3" width="5.28515625" style="3" customWidth="1"/>
    <col min="4" max="4" width="29.140625" style="3" customWidth="1"/>
    <col min="5" max="5" width="28.7109375" style="3" customWidth="1"/>
    <col min="6" max="6" width="29.28515625" style="3" customWidth="1"/>
    <col min="7" max="7" width="15.42578125" style="3" customWidth="1"/>
    <col min="8" max="8" width="5.5703125" style="3" customWidth="1"/>
    <col min="9" max="9" width="5.7109375" style="3" customWidth="1"/>
    <col min="10" max="10" width="7.140625" style="3" customWidth="1"/>
    <col min="11" max="11" width="9.28515625" style="3" customWidth="1"/>
    <col min="12" max="12" width="16.7109375" style="70" customWidth="1"/>
    <col min="13" max="13" width="16.85546875" style="69" hidden="1" customWidth="1"/>
    <col min="14" max="14" width="11.42578125" style="71" hidden="1" customWidth="1"/>
    <col min="15" max="15" width="30" style="3" bestFit="1" customWidth="1"/>
    <col min="16" max="16" width="15.42578125" style="3" bestFit="1" customWidth="1"/>
    <col min="17" max="17" width="27.7109375" style="3" bestFit="1" customWidth="1"/>
    <col min="18" max="18" width="30.85546875" style="3" bestFit="1" customWidth="1"/>
    <col min="19" max="16384" width="9.140625" style="3"/>
  </cols>
  <sheetData>
    <row r="3" spans="1:18" x14ac:dyDescent="0.25">
      <c r="A3" s="167" t="s">
        <v>1</v>
      </c>
      <c r="B3" s="168"/>
      <c r="C3" s="150"/>
      <c r="D3" s="151" t="s">
        <v>278</v>
      </c>
      <c r="E3" s="206">
        <v>2021</v>
      </c>
      <c r="F3" s="151" t="s">
        <v>279</v>
      </c>
      <c r="G3" s="157"/>
      <c r="H3" s="85"/>
      <c r="I3" s="85"/>
      <c r="J3" s="86" t="s">
        <v>13</v>
      </c>
      <c r="K3" s="86" t="s">
        <v>84</v>
      </c>
      <c r="L3" s="87" t="s">
        <v>61</v>
      </c>
      <c r="M3" s="88" t="s">
        <v>14</v>
      </c>
      <c r="N3" s="89" t="s">
        <v>62</v>
      </c>
      <c r="O3" s="86" t="s">
        <v>221</v>
      </c>
      <c r="P3" s="86" t="s">
        <v>60</v>
      </c>
      <c r="Q3" s="86" t="s">
        <v>222</v>
      </c>
      <c r="R3" s="86" t="s">
        <v>87</v>
      </c>
    </row>
    <row r="4" spans="1:18" ht="15.75" x14ac:dyDescent="0.25">
      <c r="A4" s="152" t="s">
        <v>2</v>
      </c>
      <c r="B4" s="153">
        <v>2021</v>
      </c>
      <c r="C4" s="150"/>
      <c r="D4" s="154" t="s">
        <v>282</v>
      </c>
      <c r="E4" s="155">
        <f>_2021_Volume_ADT</f>
        <v>30000</v>
      </c>
      <c r="F4" s="155">
        <f>VLOOKUP(Year_Open_to_Traffic?,Calculations!J4:K36,2,Calculations!K4:K36)</f>
        <v>31280.141864966747</v>
      </c>
      <c r="G4" s="170"/>
      <c r="H4" s="85"/>
      <c r="I4" s="68"/>
      <c r="J4" s="90">
        <v>2021</v>
      </c>
      <c r="K4" s="94">
        <f>_2021_Volume_ADT</f>
        <v>30000</v>
      </c>
      <c r="L4" s="91" t="s">
        <v>64</v>
      </c>
      <c r="M4" s="92">
        <f>MIN(B12,1)</f>
        <v>0.65594691168963759</v>
      </c>
      <c r="N4" s="93">
        <f>-(ROUNDUP(M4,0)-2)</f>
        <v>1</v>
      </c>
      <c r="O4" s="224">
        <f>IF(J4=Year_Open_to_Traffic?,Calculations!$D$29,0)</f>
        <v>0</v>
      </c>
      <c r="P4" s="94">
        <f t="shared" ref="P4:P36" si="0">IF(AND(J4&gt;=Year_Open_to_Traffic?,J4&lt;Year_Open_to_Traffic?+Years_to_include_in_BCA_Analysis),1,0)</f>
        <v>0</v>
      </c>
      <c r="Q4" s="224">
        <f>(O4*P4)/10^3</f>
        <v>0</v>
      </c>
      <c r="R4" s="227">
        <f>Q4/(1+Real_Discount_Rate)^(Calculations!J4-'Assumed Values'!$C$5)</f>
        <v>0</v>
      </c>
    </row>
    <row r="5" spans="1:18" ht="30" x14ac:dyDescent="0.25">
      <c r="A5" s="152" t="s">
        <v>56</v>
      </c>
      <c r="B5" s="152">
        <f>Service_Life</f>
        <v>15</v>
      </c>
      <c r="C5" s="150"/>
      <c r="D5" s="154" t="s">
        <v>280</v>
      </c>
      <c r="E5" s="155">
        <f>_2021_Volume_ADT*'Inputs &amp; Outputs'!$C$12</f>
        <v>22800</v>
      </c>
      <c r="F5" s="155">
        <f>$F$4*'Inputs &amp; Outputs'!$C$12</f>
        <v>23772.907817374729</v>
      </c>
      <c r="G5" s="170"/>
      <c r="H5" s="85"/>
      <c r="I5" s="68"/>
      <c r="J5" s="95">
        <f t="shared" ref="J5:J36" si="1">J4+1</f>
        <v>2022</v>
      </c>
      <c r="K5" s="166">
        <f>K4+(K4*L5)</f>
        <v>30315.038180883919</v>
      </c>
      <c r="L5" s="96">
        <f t="shared" ref="L5:L12" si="2">_2030_2030_Demand_Growth</f>
        <v>1.0501272696130659E-2</v>
      </c>
      <c r="M5" s="97">
        <f t="shared" ref="M5:M11" si="3">M4*(1+IFERROR(_2021_2030_V_C_Growth,_2021_2045_V_C_Growth))</f>
        <v>0.65594691168963759</v>
      </c>
      <c r="N5" s="98">
        <f t="shared" ref="N5:N36" si="4">-(ROUNDUP(M5,0)-2)</f>
        <v>1</v>
      </c>
      <c r="O5" s="224">
        <f>IF(J5=Year_Open_to_Traffic?,Calculations!$D$29,Calculations!O4+(Calculations!O4*Calculations!L5*N5))</f>
        <v>0</v>
      </c>
      <c r="P5" s="94">
        <f t="shared" si="0"/>
        <v>0</v>
      </c>
      <c r="Q5" s="224">
        <f t="shared" ref="Q5:Q36" si="5">(O5*P5)/10^3</f>
        <v>0</v>
      </c>
      <c r="R5" s="227">
        <f>Q5/(1+Real_Discount_Rate)^(Calculations!J5-'Assumed Values'!$C$5)</f>
        <v>0</v>
      </c>
    </row>
    <row r="6" spans="1:18" ht="30" x14ac:dyDescent="0.25">
      <c r="A6" s="235" t="s">
        <v>283</v>
      </c>
      <c r="B6" s="152">
        <v>365</v>
      </c>
      <c r="C6" s="150"/>
      <c r="D6" s="154" t="s">
        <v>281</v>
      </c>
      <c r="E6" s="155">
        <f>E5*B6</f>
        <v>8322000</v>
      </c>
      <c r="F6" s="155">
        <f>$F$5*$B$6</f>
        <v>8677111.3533417769</v>
      </c>
      <c r="G6" s="170"/>
      <c r="H6" s="85"/>
      <c r="I6" s="68"/>
      <c r="J6" s="90">
        <f t="shared" si="1"/>
        <v>2023</v>
      </c>
      <c r="K6" s="166">
        <f t="shared" ref="K6:K36" si="6">K5+(K5*L6)</f>
        <v>30633.384663614994</v>
      </c>
      <c r="L6" s="96">
        <f t="shared" si="2"/>
        <v>1.0501272696130659E-2</v>
      </c>
      <c r="M6" s="97">
        <f t="shared" si="3"/>
        <v>0.65594691168963759</v>
      </c>
      <c r="N6" s="98">
        <f t="shared" si="4"/>
        <v>1</v>
      </c>
      <c r="O6" s="224">
        <f>IF(J6=Year_Open_to_Traffic?,Calculations!$D$29,Calculations!O5+(Calculations!O5*Calculations!L6*N6))</f>
        <v>0</v>
      </c>
      <c r="P6" s="94">
        <f t="shared" si="0"/>
        <v>0</v>
      </c>
      <c r="Q6" s="224">
        <f t="shared" si="5"/>
        <v>0</v>
      </c>
      <c r="R6" s="227">
        <f>Q6/(1+Real_Discount_Rate)^(Calculations!J6-'Assumed Values'!$C$5)</f>
        <v>0</v>
      </c>
    </row>
    <row r="7" spans="1:18" ht="15.75" x14ac:dyDescent="0.25">
      <c r="A7" s="150"/>
      <c r="B7" s="156"/>
      <c r="C7" s="150"/>
      <c r="D7" s="150"/>
      <c r="E7" s="150"/>
      <c r="F7" s="150"/>
      <c r="G7" s="150"/>
      <c r="H7" s="85"/>
      <c r="I7" s="68"/>
      <c r="J7" s="95">
        <f t="shared" si="1"/>
        <v>2024</v>
      </c>
      <c r="K7" s="166">
        <f t="shared" si="6"/>
        <v>30955.074189573083</v>
      </c>
      <c r="L7" s="96">
        <f t="shared" si="2"/>
        <v>1.0501272696130659E-2</v>
      </c>
      <c r="M7" s="97">
        <f t="shared" si="3"/>
        <v>0.65594691168963759</v>
      </c>
      <c r="N7" s="98">
        <f t="shared" si="4"/>
        <v>1</v>
      </c>
      <c r="O7" s="224">
        <f>IF(J7=Year_Open_to_Traffic?,Calculations!$D$29,Calculations!O6+(Calculations!O6*Calculations!L7*N7))</f>
        <v>0</v>
      </c>
      <c r="P7" s="94">
        <f t="shared" si="0"/>
        <v>0</v>
      </c>
      <c r="Q7" s="224">
        <f t="shared" si="5"/>
        <v>0</v>
      </c>
      <c r="R7" s="227">
        <f>Q7/(1+Real_Discount_Rate)^(Calculations!J7-'Assumed Values'!$C$5)</f>
        <v>0</v>
      </c>
    </row>
    <row r="8" spans="1:18" ht="15.75" customHeight="1" x14ac:dyDescent="0.25">
      <c r="A8" s="248" t="s">
        <v>15</v>
      </c>
      <c r="B8" s="249"/>
      <c r="C8" s="150"/>
      <c r="D8" s="247"/>
      <c r="E8" s="246" t="s">
        <v>239</v>
      </c>
      <c r="F8" s="246" t="s">
        <v>253</v>
      </c>
      <c r="G8" s="172"/>
      <c r="H8" s="85"/>
      <c r="I8" s="68"/>
      <c r="J8" s="90">
        <f t="shared" si="1"/>
        <v>2025</v>
      </c>
      <c r="K8" s="166">
        <f t="shared" si="6"/>
        <v>31280.141864966747</v>
      </c>
      <c r="L8" s="96">
        <f t="shared" si="2"/>
        <v>1.0501272696130659E-2</v>
      </c>
      <c r="M8" s="97">
        <f t="shared" si="3"/>
        <v>0.65594691168963759</v>
      </c>
      <c r="N8" s="98">
        <f t="shared" si="4"/>
        <v>1</v>
      </c>
      <c r="O8" s="224">
        <f>IF(J8=Year_Open_to_Traffic?,Calculations!$D$29,Calculations!O7+(Calculations!O7*Calculations!L8*N8))</f>
        <v>222034.34123120364</v>
      </c>
      <c r="P8" s="94">
        <f t="shared" si="0"/>
        <v>1</v>
      </c>
      <c r="Q8" s="224">
        <f t="shared" si="5"/>
        <v>222.03434123120363</v>
      </c>
      <c r="R8" s="227">
        <f>Q8/(1+Real_Discount_Rate)^(Calculations!J8-'Assumed Values'!$C$5)</f>
        <v>169.38893583541167</v>
      </c>
    </row>
    <row r="9" spans="1:18" ht="15.75" x14ac:dyDescent="0.25">
      <c r="A9" s="158" t="s">
        <v>198</v>
      </c>
      <c r="B9" s="159">
        <f>(_2030_Peak_Period_Volume/'Inputs &amp; Outputs'!$C$29)^(1/(2030-2020))-1</f>
        <v>1.0501272696130659E-2</v>
      </c>
      <c r="C9" s="150"/>
      <c r="D9" s="247"/>
      <c r="E9" s="246"/>
      <c r="F9" s="246"/>
      <c r="G9" s="161"/>
      <c r="H9" s="85"/>
      <c r="I9" s="68"/>
      <c r="J9" s="95">
        <f t="shared" si="1"/>
        <v>2026</v>
      </c>
      <c r="K9" s="166">
        <f t="shared" si="6"/>
        <v>31608.623164664416</v>
      </c>
      <c r="L9" s="96">
        <f t="shared" si="2"/>
        <v>1.0501272696130659E-2</v>
      </c>
      <c r="M9" s="97">
        <f t="shared" si="3"/>
        <v>0.65594691168963759</v>
      </c>
      <c r="N9" s="98">
        <f t="shared" si="4"/>
        <v>1</v>
      </c>
      <c r="O9" s="224">
        <f>IF(J9=Year_Open_to_Traffic?,Calculations!$D$29,Calculations!O8+(Calculations!O8*Calculations!L9*N9))</f>
        <v>224365.98439637825</v>
      </c>
      <c r="P9" s="94">
        <f t="shared" si="0"/>
        <v>1</v>
      </c>
      <c r="Q9" s="224">
        <f t="shared" si="5"/>
        <v>224.36598439637825</v>
      </c>
      <c r="R9" s="227">
        <f>Q9/(1+Real_Discount_Rate)^(Calculations!J9-'Assumed Values'!$C$5)</f>
        <v>159.96984602086607</v>
      </c>
    </row>
    <row r="10" spans="1:18" ht="15.75" x14ac:dyDescent="0.25">
      <c r="A10" s="158" t="s">
        <v>199</v>
      </c>
      <c r="B10" s="159">
        <f>(_2045_Peak_Period_Volume/_2030_Peak_Period_Volume)^(1/(2045-2030))-1</f>
        <v>4.1216698962017961E-2</v>
      </c>
      <c r="C10" s="150"/>
      <c r="D10" s="247"/>
      <c r="E10" s="246"/>
      <c r="F10" s="246"/>
      <c r="G10" s="161"/>
      <c r="H10" s="85"/>
      <c r="I10" s="68"/>
      <c r="J10" s="90">
        <f t="shared" si="1"/>
        <v>2027</v>
      </c>
      <c r="K10" s="166">
        <f t="shared" si="6"/>
        <v>31940.553936065789</v>
      </c>
      <c r="L10" s="96">
        <f t="shared" si="2"/>
        <v>1.0501272696130659E-2</v>
      </c>
      <c r="M10" s="97">
        <f t="shared" si="3"/>
        <v>0.65594691168963759</v>
      </c>
      <c r="N10" s="98">
        <f t="shared" si="4"/>
        <v>1</v>
      </c>
      <c r="O10" s="224">
        <f>IF(J10=Year_Open_to_Traffic?,Calculations!$D$29,Calculations!O9+(Calculations!O9*Calculations!L10*N10))</f>
        <v>226722.1127822604</v>
      </c>
      <c r="P10" s="94">
        <f t="shared" si="0"/>
        <v>1</v>
      </c>
      <c r="Q10" s="224">
        <f t="shared" si="5"/>
        <v>226.72211278226041</v>
      </c>
      <c r="R10" s="227">
        <f>Q10/(1+Real_Discount_Rate)^(Calculations!J10-'Assumed Values'!$C$5)</f>
        <v>151.07451681970957</v>
      </c>
    </row>
    <row r="11" spans="1:18" ht="15.75" x14ac:dyDescent="0.25">
      <c r="A11" s="158" t="s">
        <v>200</v>
      </c>
      <c r="B11" s="159">
        <f>(_2045_Peak_Period_Volume/'Inputs &amp; Outputs'!$C$29)^(1/(2045-2020))-1</f>
        <v>2.8820053308594273E-2</v>
      </c>
      <c r="C11" s="150"/>
      <c r="D11" s="173" t="s">
        <v>159</v>
      </c>
      <c r="E11" s="186">
        <f>VLOOKUP('Inputs &amp; Outputs'!$C$20,'Preventable Crash data'!$B$23:$F$26,2,FALSE)</f>
        <v>0</v>
      </c>
      <c r="F11" s="187">
        <f>Death_Rate*Calculations!$C$21</f>
        <v>0</v>
      </c>
      <c r="G11" s="161"/>
      <c r="H11" s="85"/>
      <c r="I11" s="68"/>
      <c r="J11" s="95">
        <f t="shared" si="1"/>
        <v>2028</v>
      </c>
      <c r="K11" s="166">
        <f t="shared" si="6"/>
        <v>32275.970403013886</v>
      </c>
      <c r="L11" s="96">
        <f t="shared" si="2"/>
        <v>1.0501272696130659E-2</v>
      </c>
      <c r="M11" s="97">
        <f t="shared" si="3"/>
        <v>0.65594691168963759</v>
      </c>
      <c r="N11" s="98">
        <f t="shared" si="4"/>
        <v>1</v>
      </c>
      <c r="O11" s="224">
        <f>IF(J11=Year_Open_to_Traffic?,Calculations!$D$29,Calculations!O10+(Calculations!O10*Calculations!L11*N11))</f>
        <v>229102.9835148298</v>
      </c>
      <c r="P11" s="94">
        <f t="shared" si="0"/>
        <v>1</v>
      </c>
      <c r="Q11" s="224">
        <f t="shared" si="5"/>
        <v>229.10298351482979</v>
      </c>
      <c r="R11" s="227">
        <f>Q11/(1+Real_Discount_Rate)^(Calculations!J11-'Assumed Values'!$C$5)</f>
        <v>142.67382384884999</v>
      </c>
    </row>
    <row r="12" spans="1:18" ht="15.75" x14ac:dyDescent="0.25">
      <c r="A12" s="158" t="s">
        <v>201</v>
      </c>
      <c r="B12" s="162">
        <f>'Inputs &amp; Outputs'!C29/_2021_Peak_Period_Capacity</f>
        <v>0.65594691168963759</v>
      </c>
      <c r="C12" s="150"/>
      <c r="D12" s="173" t="s">
        <v>236</v>
      </c>
      <c r="E12" s="186">
        <f>VLOOKUP('Inputs &amp; Outputs'!$C$20,'Preventable Crash data'!$B$24:$F$26,3,FALSE)</f>
        <v>0.41706855819955668</v>
      </c>
      <c r="F12" s="187">
        <f>Incap_Injry_Rate*Calculations!$C$21</f>
        <v>0</v>
      </c>
      <c r="H12" s="85"/>
      <c r="I12" s="68"/>
      <c r="J12" s="90">
        <f t="shared" si="1"/>
        <v>2029</v>
      </c>
      <c r="K12" s="166">
        <f t="shared" si="6"/>
        <v>32614.909169748178</v>
      </c>
      <c r="L12" s="96">
        <f t="shared" si="2"/>
        <v>1.0501272696130659E-2</v>
      </c>
      <c r="M12" s="97">
        <f t="shared" ref="M12:M36" si="7">M11*(1+IFERROR(_2030_2045_V_C_Growth,_2021_2045_V_C_Growth))</f>
        <v>0.65594691168963759</v>
      </c>
      <c r="N12" s="98">
        <f t="shared" si="4"/>
        <v>1</v>
      </c>
      <c r="O12" s="224">
        <f>IF(J12=Year_Open_to_Traffic?,Calculations!$D$29,Calculations!O11+(Calculations!O11*Calculations!L12*N12))</f>
        <v>231508.85642021615</v>
      </c>
      <c r="P12" s="94">
        <f t="shared" si="0"/>
        <v>1</v>
      </c>
      <c r="Q12" s="224">
        <f t="shared" si="5"/>
        <v>231.50885642021615</v>
      </c>
      <c r="R12" s="227">
        <f>Q12/(1+Real_Discount_Rate)^(Calculations!J12-'Assumed Values'!$C$5)</f>
        <v>134.74026222400605</v>
      </c>
    </row>
    <row r="13" spans="1:18" ht="15.75" x14ac:dyDescent="0.25">
      <c r="A13" s="158" t="s">
        <v>202</v>
      </c>
      <c r="B13" s="162">
        <f>_2030_Peak_Period_Volume/_2030_Peak_Period_Capacity</f>
        <v>0.55052421689071851</v>
      </c>
      <c r="C13" s="150"/>
      <c r="D13" s="173" t="s">
        <v>237</v>
      </c>
      <c r="E13" s="186">
        <f>VLOOKUP('Inputs &amp; Outputs'!$C$20,'Preventable Crash data'!$B$23:$F$26,4,FALSE)</f>
        <v>1.4597399536984483</v>
      </c>
      <c r="F13" s="187">
        <f>E13*Appropriate_Crash_Reduction_Factor</f>
        <v>0.7152725773122397</v>
      </c>
      <c r="H13" s="85"/>
      <c r="I13" s="68"/>
      <c r="J13" s="95">
        <f t="shared" si="1"/>
        <v>2030</v>
      </c>
      <c r="K13" s="166">
        <f t="shared" si="6"/>
        <v>33959.188062671245</v>
      </c>
      <c r="L13" s="96">
        <f t="shared" ref="L13:L33" si="8">_2030_2045_Demand_Growth</f>
        <v>4.1216698962017961E-2</v>
      </c>
      <c r="M13" s="97">
        <f t="shared" si="7"/>
        <v>0.65594691168963759</v>
      </c>
      <c r="N13" s="98">
        <f t="shared" si="4"/>
        <v>1</v>
      </c>
      <c r="O13" s="224">
        <f>IF(J13=Year_Open_to_Traffic?,Calculations!$D$29,Calculations!O12+(Calculations!O12*Calculations!L13*N13))</f>
        <v>241050.88726232923</v>
      </c>
      <c r="P13" s="94">
        <f t="shared" si="0"/>
        <v>1</v>
      </c>
      <c r="Q13" s="224">
        <f t="shared" si="5"/>
        <v>241.05088726232924</v>
      </c>
      <c r="R13" s="227">
        <f>Q13/(1+Real_Discount_Rate)^(Calculations!J13-'Assumed Values'!$C$5)</f>
        <v>131.11571126182827</v>
      </c>
    </row>
    <row r="14" spans="1:18" ht="15.75" x14ac:dyDescent="0.25">
      <c r="A14" s="158" t="s">
        <v>85</v>
      </c>
      <c r="B14" s="162">
        <f>_2045_Peak_Period_Volume/_2045_Peak_Period_Capacity</f>
        <v>1.0090049527239981</v>
      </c>
      <c r="C14" s="150"/>
      <c r="D14" s="173" t="s">
        <v>238</v>
      </c>
      <c r="E14" s="186">
        <f>VLOOKUP('Inputs &amp; Outputs'!$C$20,'Preventable Crash data'!$B$23:$F$26,5,FALSE)</f>
        <v>2.9194799073968967</v>
      </c>
      <c r="F14" s="187">
        <f>Unkn_Injry_Rate*Appropriate_Crash_Reduction_Factor</f>
        <v>1.4305451546244794</v>
      </c>
      <c r="G14" s="161"/>
      <c r="H14" s="85"/>
      <c r="I14" s="68"/>
      <c r="J14" s="90">
        <f>J13+1</f>
        <v>2031</v>
      </c>
      <c r="K14" s="166">
        <f t="shared" si="6"/>
        <v>35358.873694044916</v>
      </c>
      <c r="L14" s="96">
        <f t="shared" si="8"/>
        <v>4.1216698962017961E-2</v>
      </c>
      <c r="M14" s="97">
        <f>M13*(1+IFERROR(_2030_2045_V_C_Growth,_2021_2045_V_C_Growth))</f>
        <v>0.65594691168963759</v>
      </c>
      <c r="N14" s="98">
        <f t="shared" si="4"/>
        <v>1</v>
      </c>
      <c r="O14" s="224">
        <f>IF(J14=Year_Open_to_Traffic?,Calculations!$D$29,Calculations!O13+(Calculations!O13*Calculations!L14*N14))</f>
        <v>250986.20911714798</v>
      </c>
      <c r="P14" s="94">
        <f t="shared" si="0"/>
        <v>1</v>
      </c>
      <c r="Q14" s="224">
        <f t="shared" si="5"/>
        <v>250.98620911714798</v>
      </c>
      <c r="R14" s="227">
        <f>Q14/(1+Real_Discount_Rate)^(Calculations!J14-'Assumed Values'!$C$5)</f>
        <v>127.58866174027843</v>
      </c>
    </row>
    <row r="15" spans="1:18" ht="15.75" x14ac:dyDescent="0.25">
      <c r="A15" s="160"/>
      <c r="B15" s="163"/>
      <c r="C15" s="150"/>
      <c r="D15" s="150"/>
      <c r="E15" s="150"/>
      <c r="F15" s="150"/>
      <c r="G15" s="150"/>
      <c r="H15" s="85"/>
      <c r="I15" s="68"/>
      <c r="J15" s="95">
        <f>J14+1</f>
        <v>2032</v>
      </c>
      <c r="K15" s="166">
        <f t="shared" si="6"/>
        <v>36816.249746728383</v>
      </c>
      <c r="L15" s="96">
        <f t="shared" si="8"/>
        <v>4.1216698962017961E-2</v>
      </c>
      <c r="M15" s="97">
        <f>M14*(1+IFERROR(_2030_2045_V_C_Growth,_2021_2045_V_C_Growth))</f>
        <v>0.65594691168963759</v>
      </c>
      <c r="N15" s="98">
        <f t="shared" si="4"/>
        <v>1</v>
      </c>
      <c r="O15" s="224">
        <f>IF(J15=Year_Open_to_Traffic?,Calculations!$D$29,Calculations!O14+(Calculations!O14*Calculations!L15*N15))</f>
        <v>261331.03214194757</v>
      </c>
      <c r="P15" s="94">
        <f t="shared" si="0"/>
        <v>1</v>
      </c>
      <c r="Q15" s="224">
        <f t="shared" si="5"/>
        <v>261.33103214194756</v>
      </c>
      <c r="R15" s="227">
        <f>Q15/(1+Real_Discount_Rate)^(Calculations!J15-'Assumed Values'!$C$5)</f>
        <v>124.15649084317215</v>
      </c>
    </row>
    <row r="16" spans="1:18" ht="15.75" x14ac:dyDescent="0.25">
      <c r="A16" s="160"/>
      <c r="B16" s="163"/>
      <c r="C16" s="150"/>
      <c r="D16" s="157"/>
      <c r="E16" s="157"/>
      <c r="F16" s="157"/>
      <c r="G16" s="157"/>
      <c r="H16" s="85"/>
      <c r="I16" s="68"/>
      <c r="J16" s="90">
        <f t="shared" si="1"/>
        <v>2033</v>
      </c>
      <c r="K16" s="166">
        <f t="shared" si="6"/>
        <v>38333.694029449754</v>
      </c>
      <c r="L16" s="96">
        <f t="shared" si="8"/>
        <v>4.1216698962017961E-2</v>
      </c>
      <c r="M16" s="97">
        <f t="shared" si="7"/>
        <v>0.65594691168963759</v>
      </c>
      <c r="N16" s="98">
        <f t="shared" si="4"/>
        <v>1</v>
      </c>
      <c r="O16" s="224">
        <f>IF(J16=Year_Open_to_Traffic?,Calculations!$D$29,Calculations!O15+(Calculations!O15*Calculations!L16*N16))</f>
        <v>272102.23462317564</v>
      </c>
      <c r="P16" s="94">
        <f t="shared" si="0"/>
        <v>1</v>
      </c>
      <c r="Q16" s="224">
        <f t="shared" si="5"/>
        <v>272.10223462317566</v>
      </c>
      <c r="R16" s="227">
        <f>Q16/(1+Real_Discount_Rate)^(Calculations!J16-'Assumed Values'!$C$5)</f>
        <v>120.81664630881846</v>
      </c>
    </row>
    <row r="17" spans="1:18" ht="15.75" x14ac:dyDescent="0.25">
      <c r="A17" s="160"/>
      <c r="B17" s="163"/>
      <c r="C17" s="150"/>
      <c r="D17" s="160"/>
      <c r="E17" s="164"/>
      <c r="F17" s="164"/>
      <c r="G17" s="164"/>
      <c r="H17" s="85"/>
      <c r="I17" s="68"/>
      <c r="J17" s="95">
        <f t="shared" si="1"/>
        <v>2034</v>
      </c>
      <c r="K17" s="166">
        <f t="shared" si="6"/>
        <v>39913.682356363694</v>
      </c>
      <c r="L17" s="96">
        <f t="shared" si="8"/>
        <v>4.1216698962017961E-2</v>
      </c>
      <c r="M17" s="97">
        <f t="shared" si="7"/>
        <v>0.65594691168963759</v>
      </c>
      <c r="N17" s="98">
        <f t="shared" si="4"/>
        <v>1</v>
      </c>
      <c r="O17" s="224">
        <f>IF(J17=Year_Open_to_Traffic?,Calculations!$D$29,Calculations!O16+(Calculations!O16*Calculations!L17*N17))</f>
        <v>283317.39051453146</v>
      </c>
      <c r="P17" s="94">
        <f t="shared" si="0"/>
        <v>1</v>
      </c>
      <c r="Q17" s="224">
        <f t="shared" si="5"/>
        <v>283.31739051453144</v>
      </c>
      <c r="R17" s="227">
        <f>Q17/(1+Real_Discount_Rate)^(Calculations!J17-'Assumed Values'!$C$5)</f>
        <v>117.56664453208374</v>
      </c>
    </row>
    <row r="18" spans="1:18" ht="30" x14ac:dyDescent="0.25">
      <c r="A18" s="151" t="s">
        <v>240</v>
      </c>
      <c r="B18" s="151" t="s">
        <v>246</v>
      </c>
      <c r="C18" s="150"/>
      <c r="D18" s="251"/>
      <c r="E18" s="252"/>
      <c r="F18" s="252"/>
      <c r="G18" s="157"/>
      <c r="H18" s="85"/>
      <c r="I18" s="68"/>
      <c r="J18" s="90">
        <f t="shared" si="1"/>
        <v>2035</v>
      </c>
      <c r="K18" s="166">
        <f t="shared" si="6"/>
        <v>41558.792586511547</v>
      </c>
      <c r="L18" s="96">
        <f t="shared" si="8"/>
        <v>4.1216698962017961E-2</v>
      </c>
      <c r="M18" s="97">
        <f t="shared" si="7"/>
        <v>0.65594691168963759</v>
      </c>
      <c r="N18" s="98">
        <f t="shared" si="4"/>
        <v>1</v>
      </c>
      <c r="O18" s="224">
        <f>IF(J18=Year_Open_to_Traffic?,Calculations!$D$29,Calculations!O17+(Calculations!O17*Calculations!L18*N18))</f>
        <v>294994.79811007337</v>
      </c>
      <c r="P18" s="94">
        <f t="shared" si="0"/>
        <v>1</v>
      </c>
      <c r="Q18" s="224">
        <f t="shared" si="5"/>
        <v>294.99479811007336</v>
      </c>
      <c r="R18" s="227">
        <f>Q18/(1+Real_Discount_Rate)^(Calculations!J18-'Assumed Values'!$C$5)</f>
        <v>114.40406871751142</v>
      </c>
    </row>
    <row r="19" spans="1:18" ht="15.75" x14ac:dyDescent="0.25">
      <c r="A19" s="196" t="s">
        <v>250</v>
      </c>
      <c r="B19" s="180">
        <f>'Value of Statistical Life'!E9</f>
        <v>11789440.000000002</v>
      </c>
      <c r="C19" s="150"/>
      <c r="D19" s="251"/>
      <c r="E19" s="252"/>
      <c r="F19" s="252"/>
      <c r="G19" s="165"/>
      <c r="H19" s="85"/>
      <c r="I19" s="68"/>
      <c r="J19" s="95">
        <f t="shared" si="1"/>
        <v>2036</v>
      </c>
      <c r="K19" s="166">
        <f t="shared" si="6"/>
        <v>43271.70882977474</v>
      </c>
      <c r="L19" s="96">
        <f t="shared" si="8"/>
        <v>4.1216698962017961E-2</v>
      </c>
      <c r="M19" s="97">
        <f t="shared" si="7"/>
        <v>0.65594691168963759</v>
      </c>
      <c r="N19" s="98">
        <f t="shared" si="4"/>
        <v>1</v>
      </c>
      <c r="O19" s="224">
        <f>IF(J19=Year_Open_to_Traffic?,Calculations!$D$29,Calculations!O18+(Calculations!O18*Calculations!L19*N19))</f>
        <v>307153.50989913754</v>
      </c>
      <c r="P19" s="94">
        <f t="shared" si="0"/>
        <v>1</v>
      </c>
      <c r="Q19" s="224">
        <f t="shared" si="5"/>
        <v>307.15350989913753</v>
      </c>
      <c r="R19" s="227">
        <f>Q19/(1+Real_Discount_Rate)^(Calculations!J19-'Assumed Values'!$C$5)</f>
        <v>111.32656708212252</v>
      </c>
    </row>
    <row r="20" spans="1:18" ht="15.75" x14ac:dyDescent="0.25">
      <c r="A20" s="196" t="s">
        <v>249</v>
      </c>
      <c r="B20" s="180">
        <f>'Value of Statistical Life'!E8</f>
        <v>563838.08000000007</v>
      </c>
      <c r="C20" s="150"/>
      <c r="D20" s="251"/>
      <c r="E20" s="252"/>
      <c r="F20" s="252"/>
      <c r="G20" s="184"/>
      <c r="H20" s="85"/>
      <c r="I20" s="68"/>
      <c r="J20" s="90">
        <f t="shared" si="1"/>
        <v>2037</v>
      </c>
      <c r="K20" s="166">
        <f t="shared" si="6"/>
        <v>45055.225826183661</v>
      </c>
      <c r="L20" s="96">
        <f t="shared" si="8"/>
        <v>4.1216698962017961E-2</v>
      </c>
      <c r="M20" s="97">
        <f t="shared" si="7"/>
        <v>0.65594691168963759</v>
      </c>
      <c r="N20" s="98">
        <f t="shared" si="4"/>
        <v>1</v>
      </c>
      <c r="O20" s="224">
        <f>IF(J20=Year_Open_to_Traffic?,Calculations!$D$29,Calculations!O19+(Calculations!O19*Calculations!L20*N20))</f>
        <v>319813.3636517775</v>
      </c>
      <c r="P20" s="94">
        <f t="shared" si="0"/>
        <v>1</v>
      </c>
      <c r="Q20" s="224">
        <f t="shared" si="5"/>
        <v>319.81336365177748</v>
      </c>
      <c r="R20" s="227">
        <f>Q20/(1+Real_Discount_Rate)^(Calculations!J20-'Assumed Values'!$C$5)</f>
        <v>108.33185110656194</v>
      </c>
    </row>
    <row r="21" spans="1:18" ht="30" x14ac:dyDescent="0.25">
      <c r="A21" s="197" t="s">
        <v>265</v>
      </c>
      <c r="B21" s="180">
        <f>'Value of Statistical Life'!E7</f>
        <v>153587.20000000001</v>
      </c>
      <c r="C21" s="150"/>
      <c r="D21" s="193"/>
      <c r="E21" s="194"/>
      <c r="F21" s="195"/>
      <c r="G21" s="184"/>
      <c r="H21" s="85"/>
      <c r="I21" s="68"/>
      <c r="J21" s="95">
        <f>J20+1</f>
        <v>2038</v>
      </c>
      <c r="K21" s="166">
        <f t="shared" si="6"/>
        <v>46912.253505727211</v>
      </c>
      <c r="L21" s="96">
        <f t="shared" si="8"/>
        <v>4.1216698962017961E-2</v>
      </c>
      <c r="M21" s="97">
        <f>M20*(1+IFERROR(_2030_2045_V_C_Growth,_2021_2045_V_C_Growth))</f>
        <v>0.65594691168963759</v>
      </c>
      <c r="N21" s="98">
        <f t="shared" si="4"/>
        <v>1</v>
      </c>
      <c r="O21" s="224">
        <f>IF(J21=Year_Open_to_Traffic?,Calculations!$D$29,Calculations!O20+(Calculations!O20*Calculations!L21*N21))</f>
        <v>332995.0147854432</v>
      </c>
      <c r="P21" s="94">
        <f t="shared" si="0"/>
        <v>1</v>
      </c>
      <c r="Q21" s="224">
        <f t="shared" si="5"/>
        <v>332.99501478544317</v>
      </c>
      <c r="R21" s="227">
        <f>Q21/(1+Real_Discount_Rate)^(Calculations!J21-'Assumed Values'!$C$5)</f>
        <v>105.41769383328902</v>
      </c>
    </row>
    <row r="22" spans="1:18" ht="15.75" x14ac:dyDescent="0.25">
      <c r="A22" s="196" t="s">
        <v>248</v>
      </c>
      <c r="B22" s="180">
        <f>'Value of Statistical Life'!E6</f>
        <v>78416.000000000015</v>
      </c>
      <c r="C22" s="150"/>
      <c r="D22" s="193"/>
      <c r="E22" s="194"/>
      <c r="F22" s="195"/>
      <c r="G22" s="184"/>
      <c r="H22" s="85"/>
      <c r="I22" s="68"/>
      <c r="J22" s="90">
        <f>J21+1</f>
        <v>2039</v>
      </c>
      <c r="K22" s="166">
        <f t="shared" si="6"/>
        <v>48845.82173610264</v>
      </c>
      <c r="L22" s="96">
        <f t="shared" si="8"/>
        <v>4.1216698962017961E-2</v>
      </c>
      <c r="M22" s="97">
        <f t="shared" si="7"/>
        <v>0.65594691168963759</v>
      </c>
      <c r="N22" s="98">
        <f t="shared" si="4"/>
        <v>1</v>
      </c>
      <c r="O22" s="224">
        <f>IF(J22=Year_Open_to_Traffic?,Calculations!$D$29,Calculations!O21+(Calculations!O21*Calculations!L22*N22))</f>
        <v>346719.97006570752</v>
      </c>
      <c r="P22" s="94">
        <f t="shared" si="0"/>
        <v>1</v>
      </c>
      <c r="Q22" s="224">
        <f t="shared" si="5"/>
        <v>346.71997006570751</v>
      </c>
      <c r="R22" s="227">
        <f>Q22/(1+Real_Discount_Rate)^(Calculations!J22-'Assumed Values'!$C$5)</f>
        <v>102.58192821054755</v>
      </c>
    </row>
    <row r="23" spans="1:18" ht="15.75" x14ac:dyDescent="0.25">
      <c r="A23" s="196" t="s">
        <v>247</v>
      </c>
      <c r="B23" s="180">
        <f>'Value of Statistical Life'!E5</f>
        <v>4001.9200000000005</v>
      </c>
      <c r="C23" s="150"/>
      <c r="D23" s="193"/>
      <c r="E23" s="194"/>
      <c r="F23" s="195"/>
      <c r="G23" s="184"/>
      <c r="H23" s="85"/>
      <c r="I23" s="68"/>
      <c r="J23" s="95">
        <f t="shared" si="1"/>
        <v>2040</v>
      </c>
      <c r="K23" s="166">
        <f t="shared" si="6"/>
        <v>50859.085266151975</v>
      </c>
      <c r="L23" s="96">
        <f t="shared" si="8"/>
        <v>4.1216698962017961E-2</v>
      </c>
      <c r="M23" s="97">
        <f t="shared" si="7"/>
        <v>0.65594691168963759</v>
      </c>
      <c r="N23" s="98">
        <f t="shared" si="4"/>
        <v>1</v>
      </c>
      <c r="O23" s="224">
        <f>IF(J23=Year_Open_to_Traffic?,Calculations!$D$29,Calculations!O22+(Calculations!O22*Calculations!L23*N23))</f>
        <v>361010.62269602565</v>
      </c>
      <c r="P23" s="94">
        <f t="shared" si="0"/>
        <v>0</v>
      </c>
      <c r="Q23" s="224">
        <f t="shared" si="5"/>
        <v>0</v>
      </c>
      <c r="R23" s="227">
        <f>Q23/(1+Real_Discount_Rate)^(Calculations!J23-'Assumed Values'!$C$5)</f>
        <v>0</v>
      </c>
    </row>
    <row r="24" spans="1:18" ht="15.75" x14ac:dyDescent="0.25">
      <c r="A24" s="181"/>
      <c r="B24" s="182"/>
      <c r="C24" s="182"/>
      <c r="D24" s="193"/>
      <c r="E24" s="194"/>
      <c r="F24" s="195"/>
      <c r="G24" s="183"/>
      <c r="H24" s="85"/>
      <c r="I24" s="68"/>
      <c r="J24" s="90">
        <f t="shared" si="1"/>
        <v>2041</v>
      </c>
      <c r="K24" s="166">
        <f t="shared" si="6"/>
        <v>52955.328873050566</v>
      </c>
      <c r="L24" s="96">
        <f t="shared" si="8"/>
        <v>4.1216698962017961E-2</v>
      </c>
      <c r="M24" s="97">
        <f t="shared" si="7"/>
        <v>0.65594691168963759</v>
      </c>
      <c r="N24" s="98">
        <f t="shared" si="4"/>
        <v>1</v>
      </c>
      <c r="O24" s="224">
        <f>IF(J24=Year_Open_to_Traffic?,Calculations!$D$29,Calculations!O23+(Calculations!O23*Calculations!L24*N24))</f>
        <v>375890.28885377839</v>
      </c>
      <c r="P24" s="94">
        <f t="shared" si="0"/>
        <v>0</v>
      </c>
      <c r="Q24" s="224">
        <f t="shared" si="5"/>
        <v>0</v>
      </c>
      <c r="R24" s="227">
        <f>Q24/(1+Real_Discount_Rate)^(Calculations!J24-'Assumed Values'!$C$5)</f>
        <v>0</v>
      </c>
    </row>
    <row r="25" spans="1:18" ht="15.75" x14ac:dyDescent="0.25">
      <c r="A25" s="181"/>
      <c r="B25" s="182"/>
      <c r="C25" s="182"/>
      <c r="D25" s="183"/>
      <c r="E25" s="183"/>
      <c r="F25" s="183"/>
      <c r="G25" s="183"/>
      <c r="H25" s="85"/>
      <c r="I25" s="68"/>
      <c r="J25" s="95">
        <f t="shared" si="1"/>
        <v>2042</v>
      </c>
      <c r="K25" s="166">
        <f t="shared" si="6"/>
        <v>55137.972721645747</v>
      </c>
      <c r="L25" s="96">
        <f t="shared" si="8"/>
        <v>4.1216698962017961E-2</v>
      </c>
      <c r="M25" s="97">
        <f t="shared" si="7"/>
        <v>0.65594691168963759</v>
      </c>
      <c r="N25" s="98">
        <f t="shared" si="4"/>
        <v>1</v>
      </c>
      <c r="O25" s="224">
        <f>IF(J25=Year_Open_to_Traffic?,Calculations!$D$29,Calculations!O24+(Calculations!O24*Calculations!L25*N25))</f>
        <v>391383.24573221058</v>
      </c>
      <c r="P25" s="94">
        <f t="shared" si="0"/>
        <v>0</v>
      </c>
      <c r="Q25" s="224">
        <f t="shared" si="5"/>
        <v>0</v>
      </c>
      <c r="R25" s="227">
        <f>Q25/(1+Real_Discount_Rate)^(Calculations!J25-'Assumed Values'!$C$5)</f>
        <v>0</v>
      </c>
    </row>
    <row r="26" spans="1:18" ht="15.75" x14ac:dyDescent="0.25">
      <c r="A26" s="181"/>
      <c r="B26" s="182"/>
      <c r="C26" s="182"/>
      <c r="D26" s="183"/>
      <c r="E26" s="183"/>
      <c r="F26" s="183"/>
      <c r="G26" s="183"/>
      <c r="H26" s="85"/>
      <c r="I26" s="68"/>
      <c r="J26" s="90">
        <f t="shared" si="1"/>
        <v>2043</v>
      </c>
      <c r="K26" s="166">
        <f t="shared" si="6"/>
        <v>57410.57794468978</v>
      </c>
      <c r="L26" s="96">
        <f t="shared" si="8"/>
        <v>4.1216698962017961E-2</v>
      </c>
      <c r="M26" s="97">
        <f t="shared" si="7"/>
        <v>0.65594691168963759</v>
      </c>
      <c r="N26" s="98">
        <f t="shared" si="4"/>
        <v>1</v>
      </c>
      <c r="O26" s="224">
        <f>IF(J26=Year_Open_to_Traffic?,Calculations!$D$29,Calculations!O25+(Calculations!O25*Calculations!L26*N26))</f>
        <v>407514.77115033258</v>
      </c>
      <c r="P26" s="94">
        <f t="shared" si="0"/>
        <v>0</v>
      </c>
      <c r="Q26" s="224">
        <f t="shared" si="5"/>
        <v>0</v>
      </c>
      <c r="R26" s="227">
        <f>Q26/(1+Real_Discount_Rate)^(Calculations!J26-'Assumed Values'!$C$5)</f>
        <v>0</v>
      </c>
    </row>
    <row r="27" spans="1:18" ht="15.75" x14ac:dyDescent="0.25">
      <c r="H27" s="99"/>
      <c r="I27" s="68"/>
      <c r="J27" s="95">
        <f t="shared" si="1"/>
        <v>2044</v>
      </c>
      <c r="K27" s="166">
        <f t="shared" si="6"/>
        <v>59776.852453071529</v>
      </c>
      <c r="L27" s="96">
        <f t="shared" si="8"/>
        <v>4.1216698962017961E-2</v>
      </c>
      <c r="M27" s="97">
        <f t="shared" si="7"/>
        <v>0.65594691168963759</v>
      </c>
      <c r="N27" s="98">
        <f t="shared" si="4"/>
        <v>1</v>
      </c>
      <c r="O27" s="224">
        <f>IF(J27=Year_Open_to_Traffic?,Calculations!$D$29,Calculations!O26+(Calculations!O26*Calculations!L27*N27))</f>
        <v>424311.18479541148</v>
      </c>
      <c r="P27" s="94">
        <f t="shared" si="0"/>
        <v>0</v>
      </c>
      <c r="Q27" s="224">
        <f t="shared" si="5"/>
        <v>0</v>
      </c>
      <c r="R27" s="227">
        <f>Q27/(1+Real_Discount_Rate)^(Calculations!J27-'Assumed Values'!$C$5)</f>
        <v>0</v>
      </c>
    </row>
    <row r="28" spans="1:18" ht="15.75" x14ac:dyDescent="0.25">
      <c r="A28" s="250" t="s">
        <v>154</v>
      </c>
      <c r="B28" s="250"/>
      <c r="C28" s="250"/>
      <c r="D28" s="250"/>
      <c r="H28" s="99"/>
      <c r="I28" s="68"/>
      <c r="J28" s="90">
        <f t="shared" si="1"/>
        <v>2045</v>
      </c>
      <c r="K28" s="166">
        <f t="shared" si="6"/>
        <v>62240.656985526744</v>
      </c>
      <c r="L28" s="96">
        <f t="shared" si="8"/>
        <v>4.1216698962017961E-2</v>
      </c>
      <c r="M28" s="97">
        <f t="shared" si="7"/>
        <v>0.65594691168963759</v>
      </c>
      <c r="N28" s="98">
        <f t="shared" si="4"/>
        <v>1</v>
      </c>
      <c r="O28" s="224">
        <f>IF(J28=Year_Open_to_Traffic?,Calculations!$D$29,Calculations!O27+(Calculations!O27*Calculations!L28*N28))</f>
        <v>441799.89116534113</v>
      </c>
      <c r="P28" s="94">
        <f t="shared" si="0"/>
        <v>0</v>
      </c>
      <c r="Q28" s="224">
        <f t="shared" si="5"/>
        <v>0</v>
      </c>
      <c r="R28" s="227">
        <f>Q28/(1+Real_Discount_Rate)^(Calculations!J28-'Assumed Values'!$C$5)</f>
        <v>0</v>
      </c>
    </row>
    <row r="29" spans="1:18" s="215" customFormat="1" ht="15.75" x14ac:dyDescent="0.25">
      <c r="A29" s="245" t="s">
        <v>270</v>
      </c>
      <c r="B29" s="245"/>
      <c r="C29" s="245"/>
      <c r="D29" s="223">
        <f>($F$11*$B$19+$F$12*$B$20+$F$13*$B$21+$F$14*$B$22)</f>
        <v>222034.34123120364</v>
      </c>
      <c r="H29" s="216"/>
      <c r="I29" s="217"/>
      <c r="J29" s="218">
        <f t="shared" si="1"/>
        <v>2046</v>
      </c>
      <c r="K29" s="219">
        <f t="shared" si="6"/>
        <v>64806.011407697421</v>
      </c>
      <c r="L29" s="96">
        <f t="shared" si="8"/>
        <v>4.1216698962017961E-2</v>
      </c>
      <c r="M29" s="220">
        <f t="shared" si="7"/>
        <v>0.65594691168963759</v>
      </c>
      <c r="N29" s="221">
        <f t="shared" si="4"/>
        <v>1</v>
      </c>
      <c r="O29" s="225">
        <f>IF(J29=Year_Open_to_Traffic?,Calculations!$D$29,Calculations!O28+(Calculations!O28*Calculations!L29*N29))</f>
        <v>460009.42428095528</v>
      </c>
      <c r="P29" s="222">
        <f t="shared" si="0"/>
        <v>0</v>
      </c>
      <c r="Q29" s="225">
        <f t="shared" si="5"/>
        <v>0</v>
      </c>
      <c r="R29" s="228">
        <f>Q29/(1+Real_Discount_Rate)^(Calculations!J29-'Assumed Values'!$C$5)</f>
        <v>0</v>
      </c>
    </row>
    <row r="30" spans="1:18" ht="15.75" x14ac:dyDescent="0.25">
      <c r="H30" s="99"/>
      <c r="I30" s="68"/>
      <c r="J30" s="95">
        <f t="shared" si="1"/>
        <v>2047</v>
      </c>
      <c r="K30" s="166">
        <f t="shared" si="6"/>
        <v>67477.101270817584</v>
      </c>
      <c r="L30" s="96">
        <f t="shared" si="8"/>
        <v>4.1216698962017961E-2</v>
      </c>
      <c r="M30" s="97">
        <f t="shared" si="7"/>
        <v>0.65594691168963759</v>
      </c>
      <c r="N30" s="98">
        <f t="shared" si="4"/>
        <v>1</v>
      </c>
      <c r="O30" s="224">
        <f>IF(J30=Year_Open_to_Traffic?,Calculations!$D$29,Calculations!O29+(Calculations!O29*Calculations!L30*N30))</f>
        <v>478969.49424123461</v>
      </c>
      <c r="P30" s="94">
        <f t="shared" si="0"/>
        <v>0</v>
      </c>
      <c r="Q30" s="224">
        <f t="shared" si="5"/>
        <v>0</v>
      </c>
      <c r="R30" s="227">
        <f>Q30/(1+Real_Discount_Rate)^(Calculations!J30-'Assumed Values'!$C$5)</f>
        <v>0</v>
      </c>
    </row>
    <row r="31" spans="1:18" ht="15.75" x14ac:dyDescent="0.25">
      <c r="H31" s="99"/>
      <c r="I31" s="68"/>
      <c r="J31" s="95">
        <f t="shared" si="1"/>
        <v>2048</v>
      </c>
      <c r="K31" s="166">
        <f t="shared" si="6"/>
        <v>70258.284640726473</v>
      </c>
      <c r="L31" s="96">
        <f t="shared" si="8"/>
        <v>4.1216698962017961E-2</v>
      </c>
      <c r="M31" s="97">
        <f t="shared" si="7"/>
        <v>0.65594691168963759</v>
      </c>
      <c r="N31" s="98">
        <f t="shared" si="4"/>
        <v>1</v>
      </c>
      <c r="O31" s="224">
        <f>IF(J31=Year_Open_to_Traffic?,Calculations!$D$29,Calculations!O30+(Calculations!O30*Calculations!L31*N31))</f>
        <v>498711.03569736559</v>
      </c>
      <c r="P31" s="94">
        <f t="shared" si="0"/>
        <v>0</v>
      </c>
      <c r="Q31" s="224">
        <f t="shared" si="5"/>
        <v>0</v>
      </c>
      <c r="R31" s="227">
        <f>Q31/(1+Real_Discount_Rate)^(Calculations!J31-'Assumed Values'!$C$5)</f>
        <v>0</v>
      </c>
    </row>
    <row r="32" spans="1:18" ht="15.75" x14ac:dyDescent="0.25">
      <c r="H32" s="99"/>
      <c r="I32" s="68"/>
      <c r="J32" s="95">
        <f t="shared" si="1"/>
        <v>2049</v>
      </c>
      <c r="K32" s="166">
        <f t="shared" si="6"/>
        <v>73154.099208351065</v>
      </c>
      <c r="L32" s="96">
        <f t="shared" si="8"/>
        <v>4.1216698962017961E-2</v>
      </c>
      <c r="M32" s="97">
        <f t="shared" si="7"/>
        <v>0.65594691168963759</v>
      </c>
      <c r="N32" s="98">
        <f t="shared" si="4"/>
        <v>1</v>
      </c>
      <c r="O32" s="224">
        <f>IF(J32=Year_Open_to_Traffic?,Calculations!$D$29,Calculations!O31+(Calculations!O31*Calculations!L32*N32))</f>
        <v>519266.25832474011</v>
      </c>
      <c r="P32" s="94">
        <f t="shared" si="0"/>
        <v>0</v>
      </c>
      <c r="Q32" s="224">
        <f t="shared" si="5"/>
        <v>0</v>
      </c>
      <c r="R32" s="227">
        <f>Q32/(1+Real_Discount_Rate)^(Calculations!J32-'Assumed Values'!$C$5)</f>
        <v>0</v>
      </c>
    </row>
    <row r="33" spans="1:18" ht="15.75" x14ac:dyDescent="0.25">
      <c r="D33" s="171"/>
      <c r="E33" s="171"/>
      <c r="F33" s="171"/>
      <c r="G33" s="171"/>
      <c r="H33" s="99"/>
      <c r="I33" s="68"/>
      <c r="J33" s="95">
        <f t="shared" si="1"/>
        <v>2050</v>
      </c>
      <c r="K33" s="166">
        <f t="shared" si="6"/>
        <v>76169.269693259266</v>
      </c>
      <c r="L33" s="96">
        <f t="shared" si="8"/>
        <v>4.1216698962017961E-2</v>
      </c>
      <c r="M33" s="97">
        <f t="shared" si="7"/>
        <v>0.65594691168963759</v>
      </c>
      <c r="N33" s="98">
        <f t="shared" si="4"/>
        <v>1</v>
      </c>
      <c r="O33" s="224">
        <f>IF(J33=Year_Open_to_Traffic?,Calculations!$D$29,Calculations!O32+(Calculations!O32*Calculations!L33*N33))</f>
        <v>540668.69937524432</v>
      </c>
      <c r="P33" s="94">
        <f t="shared" si="0"/>
        <v>0</v>
      </c>
      <c r="Q33" s="224">
        <f t="shared" si="5"/>
        <v>0</v>
      </c>
      <c r="R33" s="227">
        <f>Q33/(1+Real_Discount_Rate)^(Calculations!J33-'Assumed Values'!$C$5)</f>
        <v>0</v>
      </c>
    </row>
    <row r="34" spans="1:18" ht="15.75" x14ac:dyDescent="0.25">
      <c r="A34" s="85"/>
      <c r="B34" s="85"/>
      <c r="C34" s="85"/>
      <c r="D34" s="85"/>
      <c r="E34" s="101"/>
      <c r="F34" s="101"/>
      <c r="G34" s="101"/>
      <c r="H34" s="85"/>
      <c r="I34" s="68"/>
      <c r="J34" s="95">
        <f t="shared" si="1"/>
        <v>2051</v>
      </c>
      <c r="K34" s="166">
        <f t="shared" si="6"/>
        <v>79308.715552363094</v>
      </c>
      <c r="L34" s="96">
        <f t="shared" ref="L34:L36" si="9">_2030_2045_Demand_Growth</f>
        <v>4.1216698962017961E-2</v>
      </c>
      <c r="M34" s="97">
        <f t="shared" si="7"/>
        <v>0.65594691168963759</v>
      </c>
      <c r="N34" s="98">
        <f t="shared" si="4"/>
        <v>1</v>
      </c>
      <c r="O34" s="224">
        <f>IF(J34=Year_Open_to_Traffic?,Calculations!$D$29,Calculations!O33+(Calculations!O33*Calculations!L34*N34))</f>
        <v>562953.27839557955</v>
      </c>
      <c r="P34" s="94">
        <f t="shared" si="0"/>
        <v>0</v>
      </c>
      <c r="Q34" s="224">
        <f t="shared" si="5"/>
        <v>0</v>
      </c>
      <c r="R34" s="227">
        <f>Q34/(1+Real_Discount_Rate)^(Calculations!J34-'Assumed Values'!$C$5)</f>
        <v>0</v>
      </c>
    </row>
    <row r="35" spans="1:18" ht="15.75" x14ac:dyDescent="0.25">
      <c r="A35" s="85"/>
      <c r="B35" s="85"/>
      <c r="C35" s="85"/>
      <c r="D35" s="85"/>
      <c r="E35" s="85"/>
      <c r="F35" s="85"/>
      <c r="G35" s="85"/>
      <c r="H35" s="85"/>
      <c r="I35" s="68"/>
      <c r="J35" s="95">
        <f t="shared" si="1"/>
        <v>2052</v>
      </c>
      <c r="K35" s="166">
        <f t="shared" si="6"/>
        <v>82577.559006349155</v>
      </c>
      <c r="L35" s="96">
        <f t="shared" si="9"/>
        <v>4.1216698962017961E-2</v>
      </c>
      <c r="M35" s="97">
        <f t="shared" si="7"/>
        <v>0.65594691168963759</v>
      </c>
      <c r="N35" s="98">
        <f t="shared" si="4"/>
        <v>1</v>
      </c>
      <c r="O35" s="224">
        <f>IF(J35=Year_Open_to_Traffic?,Calculations!$D$29,Calculations!O34+(Calculations!O34*Calculations!L35*N35))</f>
        <v>586156.35420089122</v>
      </c>
      <c r="P35" s="94">
        <f t="shared" si="0"/>
        <v>0</v>
      </c>
      <c r="Q35" s="224">
        <f t="shared" si="5"/>
        <v>0</v>
      </c>
      <c r="R35" s="227">
        <f>Q35/(1+Real_Discount_Rate)^(Calculations!J35-'Assumed Values'!$C$5)</f>
        <v>0</v>
      </c>
    </row>
    <row r="36" spans="1:18" ht="15.75" x14ac:dyDescent="0.25">
      <c r="A36" s="85"/>
      <c r="B36" s="85"/>
      <c r="C36" s="85"/>
      <c r="D36" s="85"/>
      <c r="E36" s="85"/>
      <c r="F36" s="85"/>
      <c r="G36" s="85"/>
      <c r="H36" s="85"/>
      <c r="I36" s="68"/>
      <c r="J36" s="95">
        <f t="shared" si="1"/>
        <v>2053</v>
      </c>
      <c r="K36" s="166">
        <f t="shared" si="6"/>
        <v>85981.133396932128</v>
      </c>
      <c r="L36" s="96">
        <f t="shared" si="9"/>
        <v>4.1216698962017961E-2</v>
      </c>
      <c r="M36" s="97">
        <f t="shared" si="7"/>
        <v>0.65594691168963759</v>
      </c>
      <c r="N36" s="98">
        <f t="shared" si="4"/>
        <v>1</v>
      </c>
      <c r="O36" s="224">
        <f>IF(J36=Year_Open_to_Traffic?,Calculations!$D$29,Calculations!O35+(Calculations!O35*Calculations!L36*N36))</f>
        <v>610315.7841966633</v>
      </c>
      <c r="P36" s="94">
        <f t="shared" si="0"/>
        <v>0</v>
      </c>
      <c r="Q36" s="224">
        <f t="shared" si="5"/>
        <v>0</v>
      </c>
      <c r="R36" s="227">
        <f>Q36/(1+Real_Discount_Rate)^(Calculations!J36-'Assumed Values'!$C$5)</f>
        <v>0</v>
      </c>
    </row>
    <row r="37" spans="1:18" x14ac:dyDescent="0.25">
      <c r="A37" s="85"/>
      <c r="B37" s="85"/>
      <c r="C37" s="85"/>
      <c r="D37" s="85"/>
      <c r="E37" s="85"/>
      <c r="F37" s="85"/>
      <c r="G37" s="85"/>
      <c r="H37" s="85"/>
      <c r="I37" s="85"/>
      <c r="J37" s="100"/>
      <c r="K37" s="100"/>
      <c r="L37" s="102"/>
      <c r="M37" s="103"/>
      <c r="N37" s="104"/>
      <c r="O37" s="226"/>
      <c r="P37" s="100"/>
      <c r="Q37" s="226"/>
      <c r="R37" s="227">
        <f>SUM(R4:R36)</f>
        <v>1921.1536483850568</v>
      </c>
    </row>
  </sheetData>
  <mergeCells count="9">
    <mergeCell ref="A29:C29"/>
    <mergeCell ref="E8:E10"/>
    <mergeCell ref="F8:F10"/>
    <mergeCell ref="D8:D10"/>
    <mergeCell ref="A8:B8"/>
    <mergeCell ref="A28:D28"/>
    <mergeCell ref="D18:D20"/>
    <mergeCell ref="E18:E20"/>
    <mergeCell ref="F18:F20"/>
  </mergeCells>
  <pageMargins left="0.25" right="0.25" top="0.75" bottom="0.75" header="0.3" footer="0.3"/>
  <pageSetup paperSize="17" scale="6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theme="1"/>
    <pageSetUpPr fitToPage="1"/>
  </sheetPr>
  <dimension ref="B2:D49"/>
  <sheetViews>
    <sheetView zoomScaleNormal="100" workbookViewId="0">
      <selection activeCell="D55" sqref="D55"/>
    </sheetView>
  </sheetViews>
  <sheetFormatPr defaultRowHeight="15" x14ac:dyDescent="0.25"/>
  <cols>
    <col min="1" max="1" width="3.42578125" customWidth="1"/>
    <col min="2" max="2" width="62.42578125" bestFit="1" customWidth="1"/>
    <col min="3" max="3" width="22.7109375" bestFit="1" customWidth="1"/>
    <col min="4" max="4" width="20" bestFit="1" customWidth="1"/>
  </cols>
  <sheetData>
    <row r="2" spans="2:3" x14ac:dyDescent="0.25">
      <c r="B2" s="1" t="s">
        <v>150</v>
      </c>
    </row>
    <row r="4" spans="2:3" x14ac:dyDescent="0.25">
      <c r="B4" s="1" t="s">
        <v>21</v>
      </c>
    </row>
    <row r="5" spans="2:3" x14ac:dyDescent="0.25">
      <c r="B5" s="29" t="s">
        <v>24</v>
      </c>
      <c r="C5" s="51">
        <v>2021</v>
      </c>
    </row>
    <row r="6" spans="2:3" x14ac:dyDescent="0.25">
      <c r="B6" s="29" t="s">
        <v>25</v>
      </c>
      <c r="C6" s="45">
        <v>7.0000000000000007E-2</v>
      </c>
    </row>
    <row r="7" spans="2:3" x14ac:dyDescent="0.25">
      <c r="B7" s="59"/>
      <c r="C7" s="60"/>
    </row>
    <row r="8" spans="2:3" x14ac:dyDescent="0.25">
      <c r="B8" s="59"/>
      <c r="C8" s="61"/>
    </row>
    <row r="9" spans="2:3" x14ac:dyDescent="0.25">
      <c r="B9" s="26"/>
      <c r="C9" s="27"/>
    </row>
    <row r="10" spans="2:3" x14ac:dyDescent="0.25">
      <c r="B10" s="28" t="s">
        <v>57</v>
      </c>
      <c r="C10" s="27"/>
    </row>
    <row r="11" spans="2:3" x14ac:dyDescent="0.25">
      <c r="B11" s="29" t="s">
        <v>261</v>
      </c>
      <c r="C11" s="52">
        <v>11789440.000000002</v>
      </c>
    </row>
    <row r="12" spans="2:3" x14ac:dyDescent="0.25">
      <c r="B12" s="253" t="s">
        <v>58</v>
      </c>
      <c r="C12" s="254"/>
    </row>
    <row r="14" spans="2:3" hidden="1" x14ac:dyDescent="0.25">
      <c r="B14" s="28" t="s">
        <v>22</v>
      </c>
      <c r="C14" s="27"/>
    </row>
    <row r="15" spans="2:3" hidden="1" x14ac:dyDescent="0.25">
      <c r="B15" s="29" t="s">
        <v>72</v>
      </c>
      <c r="C15" s="31" t="e">
        <f>#REF!</f>
        <v>#REF!</v>
      </c>
    </row>
    <row r="16" spans="2:3" hidden="1" x14ac:dyDescent="0.25">
      <c r="B16" s="47" t="s">
        <v>63</v>
      </c>
      <c r="C16" s="48">
        <v>1.2E-2</v>
      </c>
    </row>
    <row r="17" spans="2:3" hidden="1" x14ac:dyDescent="0.25"/>
    <row r="18" spans="2:3" hidden="1" x14ac:dyDescent="0.25">
      <c r="B18" s="28" t="s">
        <v>23</v>
      </c>
    </row>
    <row r="19" spans="2:3" hidden="1" x14ac:dyDescent="0.25">
      <c r="B19" s="29" t="s">
        <v>70</v>
      </c>
      <c r="C19" s="50" t="e">
        <f>#REF!</f>
        <v>#REF!</v>
      </c>
    </row>
    <row r="20" spans="2:3" hidden="1" x14ac:dyDescent="0.25">
      <c r="B20" s="29" t="s">
        <v>71</v>
      </c>
      <c r="C20" s="50" t="e">
        <f>#REF!</f>
        <v>#REF!</v>
      </c>
    </row>
    <row r="21" spans="2:3" hidden="1" x14ac:dyDescent="0.25">
      <c r="B21" s="29" t="s">
        <v>28</v>
      </c>
      <c r="C21" s="30">
        <f>(0.267383+0.37942)/2</f>
        <v>0.32340150000000001</v>
      </c>
    </row>
    <row r="22" spans="2:3" hidden="1" x14ac:dyDescent="0.25">
      <c r="B22" s="29" t="s">
        <v>29</v>
      </c>
      <c r="C22" s="30">
        <f>(0.183428+0.198698)/2</f>
        <v>0.19106300000000001</v>
      </c>
    </row>
    <row r="23" spans="2:3" ht="75" hidden="1" x14ac:dyDescent="0.25">
      <c r="B23" s="29" t="s">
        <v>26</v>
      </c>
      <c r="C23" s="49" t="s">
        <v>27</v>
      </c>
    </row>
    <row r="24" spans="2:3" hidden="1" x14ac:dyDescent="0.25"/>
    <row r="25" spans="2:3" hidden="1" x14ac:dyDescent="0.25"/>
    <row r="26" spans="2:3" hidden="1" x14ac:dyDescent="0.25"/>
    <row r="27" spans="2:3" hidden="1" x14ac:dyDescent="0.25"/>
    <row r="28" spans="2:3" hidden="1" x14ac:dyDescent="0.25"/>
    <row r="29" spans="2:3" hidden="1" x14ac:dyDescent="0.25"/>
    <row r="30" spans="2:3" hidden="1" x14ac:dyDescent="0.25"/>
    <row r="31" spans="2:3" hidden="1" x14ac:dyDescent="0.25"/>
    <row r="49" spans="4:4" x14ac:dyDescent="0.25">
      <c r="D49" s="63"/>
    </row>
  </sheetData>
  <mergeCells count="1">
    <mergeCell ref="B12:C12"/>
  </mergeCells>
  <hyperlinks>
    <hyperlink ref="C23" r:id="rId1" location="page=80" xr:uid="{00000000-0004-0000-0500-000000000000}"/>
  </hyperlinks>
  <pageMargins left="0.25" right="0.25" top="0.75" bottom="0.75" header="0.3" footer="0.3"/>
  <pageSetup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theme="1"/>
  </sheetPr>
  <dimension ref="B2:U39"/>
  <sheetViews>
    <sheetView zoomScale="115" zoomScaleNormal="115" workbookViewId="0">
      <selection activeCell="D15" sqref="D15"/>
    </sheetView>
  </sheetViews>
  <sheetFormatPr defaultRowHeight="15" x14ac:dyDescent="0.25"/>
  <cols>
    <col min="2" max="2" width="14" customWidth="1"/>
    <col min="3" max="3" width="25" customWidth="1"/>
    <col min="4" max="5" width="23.42578125" bestFit="1" customWidth="1"/>
    <col min="6" max="6" width="18.7109375" bestFit="1" customWidth="1"/>
    <col min="7" max="7" width="14.140625" bestFit="1" customWidth="1"/>
    <col min="8" max="8" width="13.85546875" customWidth="1"/>
    <col min="9" max="9" width="14.85546875" bestFit="1" customWidth="1"/>
    <col min="10" max="10" width="11" bestFit="1" customWidth="1"/>
    <col min="14" max="14" width="14.5703125" bestFit="1" customWidth="1"/>
  </cols>
  <sheetData>
    <row r="2" spans="2:10" x14ac:dyDescent="0.25">
      <c r="B2" s="2" t="s">
        <v>197</v>
      </c>
    </row>
    <row r="3" spans="2:10" x14ac:dyDescent="0.25">
      <c r="F3" s="54"/>
    </row>
    <row r="4" spans="2:10" x14ac:dyDescent="0.25">
      <c r="B4" s="256" t="s">
        <v>240</v>
      </c>
      <c r="C4" s="257"/>
      <c r="D4" s="179" t="s">
        <v>246</v>
      </c>
      <c r="E4" s="179" t="s">
        <v>251</v>
      </c>
      <c r="F4" s="67"/>
    </row>
    <row r="5" spans="2:10" x14ac:dyDescent="0.25">
      <c r="B5" s="74">
        <v>0</v>
      </c>
      <c r="C5" s="76" t="s">
        <v>241</v>
      </c>
      <c r="D5" s="180">
        <v>3700</v>
      </c>
      <c r="E5" s="180">
        <f>D5*(1+4%)^2</f>
        <v>4001.9200000000005</v>
      </c>
      <c r="F5" s="55"/>
      <c r="H5" s="53"/>
    </row>
    <row r="6" spans="2:10" x14ac:dyDescent="0.25">
      <c r="B6" s="74" t="s">
        <v>83</v>
      </c>
      <c r="C6" s="76" t="s">
        <v>242</v>
      </c>
      <c r="D6" s="180">
        <v>72500</v>
      </c>
      <c r="E6" s="180">
        <f t="shared" ref="E6:E9" si="0">D6*(1+4%)^2</f>
        <v>78416.000000000015</v>
      </c>
      <c r="F6" s="55"/>
      <c r="H6" s="53"/>
    </row>
    <row r="7" spans="2:10" ht="31.5" customHeight="1" x14ac:dyDescent="0.25">
      <c r="B7" s="74" t="s">
        <v>82</v>
      </c>
      <c r="C7" s="75" t="s">
        <v>243</v>
      </c>
      <c r="D7" s="180">
        <v>142000</v>
      </c>
      <c r="E7" s="180">
        <f t="shared" si="0"/>
        <v>153587.20000000001</v>
      </c>
      <c r="F7" s="55"/>
      <c r="H7" s="53"/>
    </row>
    <row r="8" spans="2:10" x14ac:dyDescent="0.25">
      <c r="B8" s="74" t="s">
        <v>81</v>
      </c>
      <c r="C8" s="76" t="s">
        <v>244</v>
      </c>
      <c r="D8" s="180">
        <v>521300</v>
      </c>
      <c r="E8" s="180">
        <f t="shared" si="0"/>
        <v>563838.08000000007</v>
      </c>
      <c r="F8" s="55"/>
      <c r="H8" s="53"/>
    </row>
    <row r="9" spans="2:10" x14ac:dyDescent="0.25">
      <c r="B9" s="74" t="s">
        <v>80</v>
      </c>
      <c r="C9" s="76" t="s">
        <v>245</v>
      </c>
      <c r="D9" s="180">
        <v>10900000</v>
      </c>
      <c r="E9" s="180">
        <f t="shared" si="0"/>
        <v>11789440.000000002</v>
      </c>
      <c r="F9" s="55"/>
      <c r="H9" s="53"/>
    </row>
    <row r="11" spans="2:10" x14ac:dyDescent="0.25">
      <c r="B11" s="258" t="s">
        <v>252</v>
      </c>
      <c r="C11" s="258"/>
    </row>
    <row r="12" spans="2:10" s="54" customFormat="1" x14ac:dyDescent="0.25">
      <c r="B12" s="174"/>
    </row>
    <row r="13" spans="2:10" s="54" customFormat="1" x14ac:dyDescent="0.25"/>
    <row r="14" spans="2:10" s="54" customFormat="1" x14ac:dyDescent="0.25">
      <c r="B14" s="67"/>
      <c r="C14" s="175"/>
      <c r="D14" s="175"/>
      <c r="E14" s="67"/>
      <c r="F14" s="67"/>
      <c r="G14" s="67"/>
      <c r="H14" s="67"/>
      <c r="I14" s="67"/>
    </row>
    <row r="15" spans="2:10" s="54" customFormat="1" x14ac:dyDescent="0.25">
      <c r="B15" s="67"/>
      <c r="C15" s="175"/>
      <c r="D15" s="175"/>
      <c r="E15" s="176"/>
      <c r="F15" s="176"/>
      <c r="G15" s="176"/>
      <c r="H15" s="176"/>
      <c r="I15" s="176"/>
      <c r="J15" s="177"/>
    </row>
    <row r="16" spans="2:10" s="54" customFormat="1" x14ac:dyDescent="0.25">
      <c r="B16" s="67"/>
      <c r="E16" s="176"/>
      <c r="F16" s="176"/>
      <c r="G16" s="176"/>
      <c r="H16" s="176"/>
      <c r="I16" s="176"/>
    </row>
    <row r="17" spans="2:9" s="54" customFormat="1" x14ac:dyDescent="0.25">
      <c r="B17" s="67"/>
      <c r="E17" s="176"/>
      <c r="F17" s="176"/>
      <c r="G17" s="176"/>
      <c r="H17" s="176"/>
      <c r="I17" s="176"/>
    </row>
    <row r="18" spans="2:9" s="54" customFormat="1" x14ac:dyDescent="0.25">
      <c r="B18" s="67"/>
      <c r="E18" s="176"/>
      <c r="F18" s="176"/>
      <c r="G18" s="176"/>
      <c r="H18" s="176"/>
      <c r="I18" s="176"/>
    </row>
    <row r="19" spans="2:9" s="54" customFormat="1" x14ac:dyDescent="0.25">
      <c r="B19" s="67"/>
      <c r="E19" s="176"/>
      <c r="F19" s="176"/>
      <c r="G19" s="176"/>
      <c r="H19" s="176"/>
      <c r="I19" s="176"/>
    </row>
    <row r="20" spans="2:9" s="54" customFormat="1" x14ac:dyDescent="0.25">
      <c r="B20" s="67"/>
      <c r="E20" s="176"/>
      <c r="F20" s="176"/>
      <c r="G20" s="176"/>
      <c r="H20" s="176"/>
      <c r="I20" s="176"/>
    </row>
    <row r="21" spans="2:9" s="54" customFormat="1" x14ac:dyDescent="0.25">
      <c r="B21" s="67"/>
      <c r="E21" s="176"/>
      <c r="F21" s="176"/>
      <c r="G21" s="176"/>
      <c r="H21" s="176"/>
      <c r="I21" s="176"/>
    </row>
    <row r="22" spans="2:9" s="54" customFormat="1" x14ac:dyDescent="0.25">
      <c r="B22" s="255"/>
      <c r="C22" s="255"/>
      <c r="D22" s="185"/>
      <c r="E22" s="178"/>
      <c r="F22" s="178"/>
      <c r="G22" s="178"/>
      <c r="H22" s="178"/>
      <c r="I22" s="178"/>
    </row>
    <row r="23" spans="2:9" s="54" customFormat="1" x14ac:dyDescent="0.25"/>
    <row r="24" spans="2:9" s="54" customFormat="1" x14ac:dyDescent="0.25"/>
    <row r="35" spans="14:21" x14ac:dyDescent="0.25">
      <c r="U35" s="64"/>
    </row>
    <row r="38" spans="14:21" x14ac:dyDescent="0.25">
      <c r="N38" s="53"/>
    </row>
    <row r="39" spans="14:21" x14ac:dyDescent="0.25">
      <c r="N39" s="53"/>
    </row>
  </sheetData>
  <mergeCells count="3">
    <mergeCell ref="B22:C22"/>
    <mergeCell ref="B4:C4"/>
    <mergeCell ref="B11:C1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theme="1"/>
  </sheetPr>
  <dimension ref="B1:G74"/>
  <sheetViews>
    <sheetView topLeftCell="A10" workbookViewId="0">
      <selection activeCell="F8" sqref="F8"/>
    </sheetView>
  </sheetViews>
  <sheetFormatPr defaultRowHeight="15" x14ac:dyDescent="0.25"/>
  <cols>
    <col min="2" max="2" width="51" customWidth="1"/>
    <col min="3" max="3" width="12.28515625" customWidth="1"/>
    <col min="4" max="4" width="21.5703125" bestFit="1" customWidth="1"/>
    <col min="5" max="5" width="10.85546875" bestFit="1" customWidth="1"/>
    <col min="6" max="6" width="44.5703125" style="209" customWidth="1"/>
    <col min="7" max="7" width="48.7109375" style="147" customWidth="1"/>
  </cols>
  <sheetData>
    <row r="1" spans="2:7" x14ac:dyDescent="0.25">
      <c r="B1" t="s">
        <v>223</v>
      </c>
    </row>
    <row r="3" spans="2:7" x14ac:dyDescent="0.25">
      <c r="B3" s="56" t="s">
        <v>91</v>
      </c>
      <c r="C3" s="56" t="s">
        <v>90</v>
      </c>
      <c r="D3" s="56" t="s">
        <v>92</v>
      </c>
      <c r="E3" s="56" t="s">
        <v>156</v>
      </c>
      <c r="F3" s="210" t="s">
        <v>167</v>
      </c>
      <c r="G3" s="148" t="s">
        <v>224</v>
      </c>
    </row>
    <row r="4" spans="2:7" ht="30" x14ac:dyDescent="0.25">
      <c r="B4" s="77" t="s">
        <v>135</v>
      </c>
      <c r="C4" s="78">
        <v>101</v>
      </c>
      <c r="D4" s="66">
        <v>0.2</v>
      </c>
      <c r="E4" s="80">
        <v>6</v>
      </c>
      <c r="F4" s="211" t="s">
        <v>269</v>
      </c>
      <c r="G4" s="144" t="s">
        <v>168</v>
      </c>
    </row>
    <row r="5" spans="2:7" x14ac:dyDescent="0.25">
      <c r="B5" s="77" t="s">
        <v>125</v>
      </c>
      <c r="C5" s="78">
        <v>105</v>
      </c>
      <c r="D5" s="79">
        <v>0.14000000000000001</v>
      </c>
      <c r="E5" s="80">
        <v>10</v>
      </c>
      <c r="F5" s="212" t="s">
        <v>169</v>
      </c>
      <c r="G5" s="144" t="s">
        <v>169</v>
      </c>
    </row>
    <row r="6" spans="2:7" ht="45" x14ac:dyDescent="0.25">
      <c r="B6" s="77" t="s">
        <v>134</v>
      </c>
      <c r="C6" s="78">
        <v>107</v>
      </c>
      <c r="D6" s="66">
        <v>0.35</v>
      </c>
      <c r="E6" s="80">
        <v>10</v>
      </c>
      <c r="F6" s="211" t="s">
        <v>170</v>
      </c>
      <c r="G6" s="144" t="s">
        <v>171</v>
      </c>
    </row>
    <row r="7" spans="2:7" ht="45" x14ac:dyDescent="0.25">
      <c r="B7" s="77" t="s">
        <v>109</v>
      </c>
      <c r="C7" s="78">
        <v>108</v>
      </c>
      <c r="D7" s="66">
        <v>0.24</v>
      </c>
      <c r="E7" s="80">
        <v>10</v>
      </c>
      <c r="F7" s="211" t="s">
        <v>170</v>
      </c>
      <c r="G7" s="144" t="s">
        <v>171</v>
      </c>
    </row>
    <row r="8" spans="2:7" x14ac:dyDescent="0.25">
      <c r="B8" s="77" t="s">
        <v>130</v>
      </c>
      <c r="C8" s="78">
        <v>110</v>
      </c>
      <c r="D8" s="66">
        <v>0.34</v>
      </c>
      <c r="E8" s="80">
        <v>10</v>
      </c>
      <c r="F8" s="212" t="s">
        <v>172</v>
      </c>
      <c r="G8" s="144" t="s">
        <v>172</v>
      </c>
    </row>
    <row r="9" spans="2:7" x14ac:dyDescent="0.25">
      <c r="B9" s="77" t="s">
        <v>136</v>
      </c>
      <c r="C9" s="78">
        <v>111</v>
      </c>
      <c r="D9" s="66">
        <v>0.1</v>
      </c>
      <c r="E9" s="80">
        <v>10</v>
      </c>
      <c r="F9" s="212" t="s">
        <v>173</v>
      </c>
      <c r="G9" s="144" t="s">
        <v>173</v>
      </c>
    </row>
    <row r="10" spans="2:7" x14ac:dyDescent="0.25">
      <c r="B10" s="77" t="s">
        <v>122</v>
      </c>
      <c r="C10" s="78">
        <v>113</v>
      </c>
      <c r="D10" s="79">
        <v>0.12</v>
      </c>
      <c r="E10" s="80">
        <v>2</v>
      </c>
      <c r="F10" s="211" t="s">
        <v>269</v>
      </c>
      <c r="G10" s="144" t="s">
        <v>175</v>
      </c>
    </row>
    <row r="11" spans="2:7" x14ac:dyDescent="0.25">
      <c r="B11" s="77" t="s">
        <v>132</v>
      </c>
      <c r="C11" s="78">
        <v>114</v>
      </c>
      <c r="D11" s="66">
        <v>0.2</v>
      </c>
      <c r="E11" s="80">
        <v>5</v>
      </c>
      <c r="F11" s="212" t="s">
        <v>173</v>
      </c>
      <c r="G11" s="144" t="s">
        <v>173</v>
      </c>
    </row>
    <row r="12" spans="2:7" ht="45" x14ac:dyDescent="0.25">
      <c r="B12" s="77" t="s">
        <v>139</v>
      </c>
      <c r="C12" s="78">
        <v>118</v>
      </c>
      <c r="D12" s="66">
        <v>0.25</v>
      </c>
      <c r="E12" s="80">
        <v>10</v>
      </c>
      <c r="F12" s="211" t="s">
        <v>172</v>
      </c>
      <c r="G12" s="144" t="s">
        <v>176</v>
      </c>
    </row>
    <row r="13" spans="2:7" x14ac:dyDescent="0.25">
      <c r="B13" s="145" t="s">
        <v>206</v>
      </c>
      <c r="C13" s="78">
        <v>119</v>
      </c>
      <c r="D13" s="66">
        <v>0.2</v>
      </c>
      <c r="E13" s="80">
        <v>6</v>
      </c>
      <c r="F13" s="211" t="s">
        <v>269</v>
      </c>
      <c r="G13" s="144" t="s">
        <v>177</v>
      </c>
    </row>
    <row r="14" spans="2:7" ht="30" x14ac:dyDescent="0.25">
      <c r="B14" s="145" t="s">
        <v>114</v>
      </c>
      <c r="C14" s="78">
        <v>122</v>
      </c>
      <c r="D14" s="66">
        <v>0.1</v>
      </c>
      <c r="E14" s="80">
        <v>10</v>
      </c>
      <c r="F14" s="212" t="s">
        <v>170</v>
      </c>
      <c r="G14" s="144" t="s">
        <v>170</v>
      </c>
    </row>
    <row r="15" spans="2:7" ht="30" x14ac:dyDescent="0.25">
      <c r="B15" s="145" t="s">
        <v>113</v>
      </c>
      <c r="C15" s="78">
        <v>123</v>
      </c>
      <c r="D15" s="66">
        <v>0.1</v>
      </c>
      <c r="E15" s="80">
        <v>10</v>
      </c>
      <c r="F15" s="211" t="s">
        <v>269</v>
      </c>
      <c r="G15" s="144" t="s">
        <v>178</v>
      </c>
    </row>
    <row r="16" spans="2:7" ht="30" x14ac:dyDescent="0.25">
      <c r="B16" s="145" t="s">
        <v>117</v>
      </c>
      <c r="C16" s="78">
        <v>124</v>
      </c>
      <c r="D16" s="66">
        <v>0.27</v>
      </c>
      <c r="E16" s="80">
        <v>10</v>
      </c>
      <c r="F16" s="212" t="s">
        <v>170</v>
      </c>
      <c r="G16" s="144" t="s">
        <v>170</v>
      </c>
    </row>
    <row r="17" spans="2:7" ht="30" x14ac:dyDescent="0.25">
      <c r="B17" s="77" t="s">
        <v>116</v>
      </c>
      <c r="C17" s="78">
        <v>125</v>
      </c>
      <c r="D17" s="79">
        <v>0.15</v>
      </c>
      <c r="E17" s="80">
        <v>10</v>
      </c>
      <c r="F17" s="211" t="s">
        <v>269</v>
      </c>
      <c r="G17" s="144" t="s">
        <v>183</v>
      </c>
    </row>
    <row r="18" spans="2:7" ht="30" x14ac:dyDescent="0.25">
      <c r="B18" s="145" t="s">
        <v>119</v>
      </c>
      <c r="C18" s="78">
        <v>128</v>
      </c>
      <c r="D18" s="66">
        <v>0.05</v>
      </c>
      <c r="E18" s="80">
        <v>6</v>
      </c>
      <c r="F18" s="212" t="s">
        <v>170</v>
      </c>
      <c r="G18" s="144" t="s">
        <v>170</v>
      </c>
    </row>
    <row r="19" spans="2:7" ht="30" x14ac:dyDescent="0.25">
      <c r="B19" s="145" t="s">
        <v>118</v>
      </c>
      <c r="C19" s="78">
        <v>130</v>
      </c>
      <c r="D19" s="79">
        <v>0.05</v>
      </c>
      <c r="E19" s="80">
        <v>6</v>
      </c>
      <c r="F19" s="211" t="s">
        <v>269</v>
      </c>
      <c r="G19" s="144" t="s">
        <v>179</v>
      </c>
    </row>
    <row r="20" spans="2:7" x14ac:dyDescent="0.25">
      <c r="B20" s="77" t="s">
        <v>107</v>
      </c>
      <c r="C20" s="78">
        <v>131</v>
      </c>
      <c r="D20" s="66">
        <v>0.1</v>
      </c>
      <c r="E20" s="80">
        <v>10</v>
      </c>
      <c r="F20" s="212" t="s">
        <v>180</v>
      </c>
      <c r="G20" s="144" t="s">
        <v>180</v>
      </c>
    </row>
    <row r="21" spans="2:7" x14ac:dyDescent="0.25">
      <c r="B21" s="77" t="s">
        <v>115</v>
      </c>
      <c r="C21" s="78">
        <v>132</v>
      </c>
      <c r="D21" s="66">
        <v>0.1</v>
      </c>
      <c r="E21" s="80">
        <v>10</v>
      </c>
      <c r="F21" s="212"/>
      <c r="G21" s="144"/>
    </row>
    <row r="22" spans="2:7" x14ac:dyDescent="0.25">
      <c r="B22" s="77" t="s">
        <v>108</v>
      </c>
      <c r="C22" s="78">
        <v>133</v>
      </c>
      <c r="D22" s="66">
        <v>0.05</v>
      </c>
      <c r="E22" s="80">
        <v>5</v>
      </c>
      <c r="F22" s="212" t="s">
        <v>173</v>
      </c>
      <c r="G22" s="144" t="s">
        <v>173</v>
      </c>
    </row>
    <row r="23" spans="2:7" ht="30" x14ac:dyDescent="0.25">
      <c r="B23" s="77" t="s">
        <v>207</v>
      </c>
      <c r="C23" s="78">
        <v>136</v>
      </c>
      <c r="D23" s="66">
        <v>0.35</v>
      </c>
      <c r="E23" s="80">
        <v>5</v>
      </c>
      <c r="F23" s="211" t="s">
        <v>269</v>
      </c>
      <c r="G23" s="144" t="s">
        <v>179</v>
      </c>
    </row>
    <row r="24" spans="2:7" ht="30" x14ac:dyDescent="0.25">
      <c r="B24" s="57" t="s">
        <v>208</v>
      </c>
      <c r="C24" s="65">
        <v>137</v>
      </c>
      <c r="D24" s="66">
        <v>0.25</v>
      </c>
      <c r="E24" s="74">
        <v>10</v>
      </c>
      <c r="F24" s="211" t="s">
        <v>269</v>
      </c>
      <c r="G24" s="73" t="s">
        <v>179</v>
      </c>
    </row>
    <row r="25" spans="2:7" s="62" customFormat="1" ht="45" x14ac:dyDescent="0.25">
      <c r="B25" s="77" t="s">
        <v>209</v>
      </c>
      <c r="C25" s="78">
        <v>138</v>
      </c>
      <c r="D25" s="66">
        <v>0.41</v>
      </c>
      <c r="E25" s="80">
        <v>10</v>
      </c>
      <c r="F25" s="212" t="s">
        <v>170</v>
      </c>
      <c r="G25" s="144" t="s">
        <v>211</v>
      </c>
    </row>
    <row r="26" spans="2:7" ht="30" x14ac:dyDescent="0.25">
      <c r="B26" s="77" t="s">
        <v>210</v>
      </c>
      <c r="C26" s="78">
        <v>139</v>
      </c>
      <c r="D26" s="66">
        <v>0.12</v>
      </c>
      <c r="E26" s="80">
        <v>7</v>
      </c>
      <c r="F26" s="211" t="s">
        <v>269</v>
      </c>
      <c r="G26" s="144" t="s">
        <v>179</v>
      </c>
    </row>
    <row r="27" spans="2:7" s="62" customFormat="1" x14ac:dyDescent="0.25">
      <c r="B27" s="77" t="s">
        <v>126</v>
      </c>
      <c r="C27" s="78">
        <v>201</v>
      </c>
      <c r="D27" s="66">
        <v>0.75</v>
      </c>
      <c r="E27" s="80">
        <v>15</v>
      </c>
      <c r="F27" s="211" t="s">
        <v>269</v>
      </c>
      <c r="G27" s="144" t="s">
        <v>177</v>
      </c>
    </row>
    <row r="28" spans="2:7" s="62" customFormat="1" ht="45" x14ac:dyDescent="0.25">
      <c r="B28" s="77" t="s">
        <v>131</v>
      </c>
      <c r="C28" s="78">
        <v>203</v>
      </c>
      <c r="D28" s="66">
        <v>0.25</v>
      </c>
      <c r="E28" s="80">
        <v>20</v>
      </c>
      <c r="F28" s="211" t="s">
        <v>269</v>
      </c>
      <c r="G28" s="144" t="s">
        <v>181</v>
      </c>
    </row>
    <row r="29" spans="2:7" x14ac:dyDescent="0.25">
      <c r="B29" s="145" t="s">
        <v>104</v>
      </c>
      <c r="C29" s="78">
        <v>204</v>
      </c>
      <c r="D29" s="66">
        <v>0.05</v>
      </c>
      <c r="E29" s="80">
        <v>20</v>
      </c>
      <c r="F29" s="211" t="s">
        <v>269</v>
      </c>
      <c r="G29" s="144" t="s">
        <v>174</v>
      </c>
    </row>
    <row r="30" spans="2:7" x14ac:dyDescent="0.25">
      <c r="B30" s="77" t="s">
        <v>143</v>
      </c>
      <c r="C30" s="78">
        <v>209</v>
      </c>
      <c r="D30" s="79">
        <v>0.5</v>
      </c>
      <c r="E30" s="80">
        <v>20</v>
      </c>
      <c r="F30" s="211" t="s">
        <v>269</v>
      </c>
      <c r="G30" s="144" t="s">
        <v>174</v>
      </c>
    </row>
    <row r="31" spans="2:7" x14ac:dyDescent="0.25">
      <c r="B31" s="77" t="s">
        <v>124</v>
      </c>
      <c r="C31" s="78">
        <v>217</v>
      </c>
      <c r="D31" s="66">
        <v>0.6</v>
      </c>
      <c r="E31" s="80">
        <v>10</v>
      </c>
      <c r="F31" s="212" t="s">
        <v>182</v>
      </c>
      <c r="G31" s="144" t="s">
        <v>182</v>
      </c>
    </row>
    <row r="32" spans="2:7" ht="30" x14ac:dyDescent="0.25">
      <c r="B32" s="77" t="s">
        <v>144</v>
      </c>
      <c r="C32" s="78">
        <v>218</v>
      </c>
      <c r="D32" s="66">
        <v>0.55000000000000004</v>
      </c>
      <c r="E32" s="80">
        <v>20</v>
      </c>
      <c r="F32" s="211" t="s">
        <v>269</v>
      </c>
      <c r="G32" s="144" t="s">
        <v>179</v>
      </c>
    </row>
    <row r="33" spans="2:7" x14ac:dyDescent="0.25">
      <c r="B33" s="77" t="s">
        <v>140</v>
      </c>
      <c r="C33" s="78">
        <v>303</v>
      </c>
      <c r="D33" s="66">
        <v>0.3</v>
      </c>
      <c r="E33" s="80">
        <v>10</v>
      </c>
      <c r="F33" s="211" t="s">
        <v>269</v>
      </c>
      <c r="G33" s="144" t="s">
        <v>184</v>
      </c>
    </row>
    <row r="34" spans="2:7" x14ac:dyDescent="0.25">
      <c r="B34" s="145" t="s">
        <v>141</v>
      </c>
      <c r="C34" s="78">
        <v>304</v>
      </c>
      <c r="D34" s="66">
        <v>0.49</v>
      </c>
      <c r="E34" s="80">
        <v>15</v>
      </c>
      <c r="F34" s="211" t="s">
        <v>269</v>
      </c>
      <c r="G34" s="144" t="s">
        <v>185</v>
      </c>
    </row>
    <row r="35" spans="2:7" x14ac:dyDescent="0.25">
      <c r="B35" s="77" t="s">
        <v>142</v>
      </c>
      <c r="C35" s="78">
        <v>305</v>
      </c>
      <c r="D35" s="79">
        <v>0.13</v>
      </c>
      <c r="E35" s="80">
        <v>15</v>
      </c>
      <c r="F35" s="212" t="s">
        <v>170</v>
      </c>
      <c r="G35" s="144" t="s">
        <v>186</v>
      </c>
    </row>
    <row r="36" spans="2:7" s="62" customFormat="1" x14ac:dyDescent="0.25">
      <c r="B36" s="77" t="s">
        <v>213</v>
      </c>
      <c r="C36" s="78">
        <v>306</v>
      </c>
      <c r="D36" s="79">
        <v>0.45</v>
      </c>
      <c r="E36" s="80">
        <v>5</v>
      </c>
      <c r="F36" s="211" t="s">
        <v>269</v>
      </c>
      <c r="G36" s="144" t="s">
        <v>212</v>
      </c>
    </row>
    <row r="37" spans="2:7" s="62" customFormat="1" x14ac:dyDescent="0.25">
      <c r="B37" s="77" t="s">
        <v>214</v>
      </c>
      <c r="C37" s="78">
        <v>307</v>
      </c>
      <c r="D37" s="79">
        <v>0.2</v>
      </c>
      <c r="E37" s="80">
        <v>5</v>
      </c>
      <c r="F37" s="212" t="s">
        <v>170</v>
      </c>
      <c r="G37" s="144" t="s">
        <v>170</v>
      </c>
    </row>
    <row r="38" spans="2:7" ht="30" x14ac:dyDescent="0.25">
      <c r="B38" s="146" t="s">
        <v>128</v>
      </c>
      <c r="C38" s="78">
        <v>401</v>
      </c>
      <c r="D38" s="66">
        <v>0.2</v>
      </c>
      <c r="E38" s="80">
        <v>2</v>
      </c>
      <c r="F38" s="211" t="s">
        <v>269</v>
      </c>
      <c r="G38" s="144" t="s">
        <v>179</v>
      </c>
    </row>
    <row r="39" spans="2:7" x14ac:dyDescent="0.25">
      <c r="B39" s="146" t="s">
        <v>123</v>
      </c>
      <c r="C39" s="78">
        <v>402</v>
      </c>
      <c r="D39" s="66">
        <v>0.25</v>
      </c>
      <c r="E39" s="80">
        <v>2</v>
      </c>
      <c r="F39" s="211" t="s">
        <v>269</v>
      </c>
      <c r="G39" s="144" t="s">
        <v>187</v>
      </c>
    </row>
    <row r="40" spans="2:7" x14ac:dyDescent="0.25">
      <c r="B40" s="145" t="s">
        <v>129</v>
      </c>
      <c r="C40" s="78">
        <v>403</v>
      </c>
      <c r="D40" s="66">
        <v>0.1</v>
      </c>
      <c r="E40" s="80">
        <v>2</v>
      </c>
      <c r="F40" s="212" t="s">
        <v>180</v>
      </c>
      <c r="G40" s="144" t="s">
        <v>180</v>
      </c>
    </row>
    <row r="41" spans="2:7" x14ac:dyDescent="0.25">
      <c r="B41" s="145" t="s">
        <v>120</v>
      </c>
      <c r="C41" s="78">
        <v>404</v>
      </c>
      <c r="D41" s="66">
        <v>0.65</v>
      </c>
      <c r="E41" s="80">
        <v>2</v>
      </c>
      <c r="F41" s="211" t="s">
        <v>269</v>
      </c>
      <c r="G41" s="144" t="s">
        <v>177</v>
      </c>
    </row>
    <row r="42" spans="2:7" x14ac:dyDescent="0.25">
      <c r="B42" s="146" t="s">
        <v>133</v>
      </c>
      <c r="C42" s="78">
        <v>407</v>
      </c>
      <c r="D42" s="79">
        <v>0.65</v>
      </c>
      <c r="E42" s="80">
        <v>10</v>
      </c>
      <c r="F42" s="212" t="s">
        <v>172</v>
      </c>
      <c r="G42" s="144" t="s">
        <v>172</v>
      </c>
    </row>
    <row r="43" spans="2:7" s="62" customFormat="1" ht="30" x14ac:dyDescent="0.25">
      <c r="B43" s="77" t="s">
        <v>145</v>
      </c>
      <c r="C43" s="78">
        <v>502</v>
      </c>
      <c r="D43" s="66">
        <v>0.3</v>
      </c>
      <c r="E43" s="80">
        <v>20</v>
      </c>
      <c r="F43" s="211" t="s">
        <v>269</v>
      </c>
      <c r="G43" s="144" t="s">
        <v>188</v>
      </c>
    </row>
    <row r="44" spans="2:7" x14ac:dyDescent="0.25">
      <c r="B44" s="77" t="s">
        <v>146</v>
      </c>
      <c r="C44" s="78">
        <v>503</v>
      </c>
      <c r="D44" s="66">
        <v>0.25</v>
      </c>
      <c r="E44" s="80">
        <v>20</v>
      </c>
      <c r="F44" s="211" t="s">
        <v>269</v>
      </c>
      <c r="G44" s="144" t="s">
        <v>174</v>
      </c>
    </row>
    <row r="45" spans="2:7" ht="30" x14ac:dyDescent="0.25">
      <c r="B45" s="77" t="s">
        <v>99</v>
      </c>
      <c r="C45" s="78">
        <v>504</v>
      </c>
      <c r="D45" s="66">
        <v>0.25</v>
      </c>
      <c r="E45" s="80">
        <v>20</v>
      </c>
      <c r="F45" s="211" t="s">
        <v>269</v>
      </c>
      <c r="G45" s="144" t="s">
        <v>179</v>
      </c>
    </row>
    <row r="46" spans="2:7" ht="30" x14ac:dyDescent="0.25">
      <c r="B46" s="145" t="s">
        <v>110</v>
      </c>
      <c r="C46" s="78">
        <v>505</v>
      </c>
      <c r="D46" s="66">
        <v>0.5</v>
      </c>
      <c r="E46" s="80">
        <v>10</v>
      </c>
      <c r="F46" s="211" t="s">
        <v>269</v>
      </c>
      <c r="G46" s="144" t="s">
        <v>179</v>
      </c>
    </row>
    <row r="47" spans="2:7" ht="30" x14ac:dyDescent="0.25">
      <c r="B47" s="77" t="s">
        <v>106</v>
      </c>
      <c r="C47" s="78">
        <v>506</v>
      </c>
      <c r="D47" s="79">
        <v>0.55000000000000004</v>
      </c>
      <c r="E47" s="80">
        <v>10</v>
      </c>
      <c r="F47" s="211" t="s">
        <v>269</v>
      </c>
      <c r="G47" s="144" t="s">
        <v>179</v>
      </c>
    </row>
    <row r="48" spans="2:7" ht="30" x14ac:dyDescent="0.25">
      <c r="B48" s="145" t="s">
        <v>111</v>
      </c>
      <c r="C48" s="78">
        <v>507</v>
      </c>
      <c r="D48" s="79">
        <v>0.65</v>
      </c>
      <c r="E48" s="80">
        <v>10</v>
      </c>
      <c r="F48" s="211" t="s">
        <v>269</v>
      </c>
      <c r="G48" s="144" t="s">
        <v>179</v>
      </c>
    </row>
    <row r="49" spans="2:7" ht="30" x14ac:dyDescent="0.25">
      <c r="B49" s="145" t="s">
        <v>101</v>
      </c>
      <c r="C49" s="78">
        <v>510</v>
      </c>
      <c r="D49" s="79">
        <v>0.4</v>
      </c>
      <c r="E49" s="80">
        <v>10</v>
      </c>
      <c r="F49" s="212" t="s">
        <v>170</v>
      </c>
      <c r="G49" s="144" t="s">
        <v>189</v>
      </c>
    </row>
    <row r="50" spans="2:7" x14ac:dyDescent="0.25">
      <c r="B50" s="77" t="s">
        <v>105</v>
      </c>
      <c r="C50" s="78">
        <v>514</v>
      </c>
      <c r="D50" s="66">
        <v>0.8</v>
      </c>
      <c r="E50" s="80">
        <v>30</v>
      </c>
      <c r="F50" s="212" t="s">
        <v>170</v>
      </c>
      <c r="G50" s="144" t="s">
        <v>170</v>
      </c>
    </row>
    <row r="51" spans="2:7" x14ac:dyDescent="0.25">
      <c r="B51" s="77" t="s">
        <v>97</v>
      </c>
      <c r="C51" s="78">
        <v>515</v>
      </c>
      <c r="D51" s="66">
        <v>0.65</v>
      </c>
      <c r="E51" s="80">
        <v>30</v>
      </c>
      <c r="F51" s="212" t="s">
        <v>170</v>
      </c>
      <c r="G51" s="144" t="s">
        <v>170</v>
      </c>
    </row>
    <row r="52" spans="2:7" ht="30" x14ac:dyDescent="0.25">
      <c r="B52" s="145" t="s">
        <v>96</v>
      </c>
      <c r="C52" s="78">
        <v>516</v>
      </c>
      <c r="D52" s="66">
        <v>0.5</v>
      </c>
      <c r="E52" s="80">
        <v>20</v>
      </c>
      <c r="F52" s="211" t="s">
        <v>269</v>
      </c>
      <c r="G52" s="144" t="s">
        <v>190</v>
      </c>
    </row>
    <row r="53" spans="2:7" x14ac:dyDescent="0.25">
      <c r="B53" s="77" t="s">
        <v>95</v>
      </c>
      <c r="C53" s="78">
        <v>517</v>
      </c>
      <c r="D53" s="79">
        <v>0.28000000000000003</v>
      </c>
      <c r="E53" s="80">
        <v>20</v>
      </c>
      <c r="F53" s="211" t="s">
        <v>269</v>
      </c>
      <c r="G53" s="144" t="s">
        <v>177</v>
      </c>
    </row>
    <row r="54" spans="2:7" ht="30" x14ac:dyDescent="0.25">
      <c r="B54" s="77" t="s">
        <v>121</v>
      </c>
      <c r="C54" s="78">
        <v>518</v>
      </c>
      <c r="D54" s="66">
        <v>0.5</v>
      </c>
      <c r="E54" s="80">
        <v>10</v>
      </c>
      <c r="F54" s="211" t="s">
        <v>269</v>
      </c>
      <c r="G54" s="144" t="s">
        <v>205</v>
      </c>
    </row>
    <row r="55" spans="2:7" ht="30" x14ac:dyDescent="0.25">
      <c r="B55" s="77" t="s">
        <v>93</v>
      </c>
      <c r="C55" s="78">
        <v>519</v>
      </c>
      <c r="D55" s="66">
        <v>0.25</v>
      </c>
      <c r="E55" s="80">
        <v>10</v>
      </c>
      <c r="F55" s="212" t="s">
        <v>170</v>
      </c>
      <c r="G55" s="144" t="s">
        <v>191</v>
      </c>
    </row>
    <row r="56" spans="2:7" ht="30" x14ac:dyDescent="0.25">
      <c r="B56" s="77" t="s">
        <v>137</v>
      </c>
      <c r="C56" s="78">
        <v>520</v>
      </c>
      <c r="D56" s="66">
        <v>0.4</v>
      </c>
      <c r="E56" s="80">
        <v>10</v>
      </c>
      <c r="F56" s="212" t="s">
        <v>170</v>
      </c>
      <c r="G56" s="144" t="s">
        <v>191</v>
      </c>
    </row>
    <row r="57" spans="2:7" ht="30" x14ac:dyDescent="0.25">
      <c r="B57" s="77" t="s">
        <v>94</v>
      </c>
      <c r="C57" s="78">
        <v>521</v>
      </c>
      <c r="D57" s="66">
        <v>0.25</v>
      </c>
      <c r="E57" s="80">
        <v>10</v>
      </c>
      <c r="F57" s="212" t="s">
        <v>170</v>
      </c>
      <c r="G57" s="144" t="s">
        <v>191</v>
      </c>
    </row>
    <row r="58" spans="2:7" ht="30" x14ac:dyDescent="0.25">
      <c r="B58" s="77" t="s">
        <v>138</v>
      </c>
      <c r="C58" s="78">
        <v>522</v>
      </c>
      <c r="D58" s="66">
        <v>0.4</v>
      </c>
      <c r="E58" s="80">
        <v>10</v>
      </c>
      <c r="F58" s="212" t="s">
        <v>170</v>
      </c>
      <c r="G58" s="144" t="s">
        <v>191</v>
      </c>
    </row>
    <row r="59" spans="2:7" x14ac:dyDescent="0.25">
      <c r="B59" s="77" t="s">
        <v>100</v>
      </c>
      <c r="C59" s="78">
        <v>523</v>
      </c>
      <c r="D59" s="66">
        <v>0.95</v>
      </c>
      <c r="E59" s="80">
        <v>10</v>
      </c>
      <c r="F59" s="212" t="s">
        <v>180</v>
      </c>
      <c r="G59" s="144" t="s">
        <v>180</v>
      </c>
    </row>
    <row r="60" spans="2:7" x14ac:dyDescent="0.25">
      <c r="B60" s="81" t="s">
        <v>112</v>
      </c>
      <c r="C60" s="82">
        <v>524</v>
      </c>
      <c r="D60" s="83">
        <v>0.1</v>
      </c>
      <c r="E60" s="84">
        <v>10</v>
      </c>
      <c r="F60" s="213"/>
      <c r="G60" s="149"/>
    </row>
    <row r="61" spans="2:7" x14ac:dyDescent="0.25">
      <c r="B61" s="58" t="s">
        <v>103</v>
      </c>
      <c r="C61" s="65">
        <v>525</v>
      </c>
      <c r="D61" s="66">
        <v>0.68</v>
      </c>
      <c r="E61" s="74">
        <v>10</v>
      </c>
      <c r="F61" s="211" t="s">
        <v>269</v>
      </c>
      <c r="G61" s="73" t="s">
        <v>192</v>
      </c>
    </row>
    <row r="62" spans="2:7" ht="30" x14ac:dyDescent="0.25">
      <c r="B62" s="47" t="s">
        <v>193</v>
      </c>
      <c r="C62" s="78">
        <v>532</v>
      </c>
      <c r="D62" s="79">
        <v>0.15</v>
      </c>
      <c r="E62" s="80">
        <v>10</v>
      </c>
      <c r="F62" s="211" t="s">
        <v>269</v>
      </c>
      <c r="G62" s="144" t="s">
        <v>179</v>
      </c>
    </row>
    <row r="63" spans="2:7" ht="30" x14ac:dyDescent="0.25">
      <c r="B63" s="47" t="s">
        <v>194</v>
      </c>
      <c r="C63" s="78">
        <v>533</v>
      </c>
      <c r="D63" s="66">
        <v>7.0000000000000007E-2</v>
      </c>
      <c r="E63" s="80">
        <v>5</v>
      </c>
      <c r="F63" s="211" t="s">
        <v>269</v>
      </c>
      <c r="G63" s="144" t="s">
        <v>195</v>
      </c>
    </row>
    <row r="64" spans="2:7" ht="30" x14ac:dyDescent="0.25">
      <c r="B64" s="77" t="s">
        <v>196</v>
      </c>
      <c r="C64" s="78">
        <v>534</v>
      </c>
      <c r="D64" s="66">
        <v>0.17</v>
      </c>
      <c r="E64" s="80">
        <v>4</v>
      </c>
      <c r="F64" s="211" t="s">
        <v>269</v>
      </c>
      <c r="G64" s="144" t="s">
        <v>195</v>
      </c>
    </row>
    <row r="65" spans="2:7" x14ac:dyDescent="0.25">
      <c r="B65" s="77" t="s">
        <v>147</v>
      </c>
      <c r="C65" s="78">
        <v>536</v>
      </c>
      <c r="D65" s="66">
        <v>0.31</v>
      </c>
      <c r="E65" s="80">
        <v>20</v>
      </c>
      <c r="F65" s="211" t="s">
        <v>269</v>
      </c>
      <c r="G65" s="144" t="s">
        <v>174</v>
      </c>
    </row>
    <row r="66" spans="2:7" x14ac:dyDescent="0.25">
      <c r="B66" s="77" t="s">
        <v>98</v>
      </c>
      <c r="C66" s="78">
        <v>537</v>
      </c>
      <c r="D66" s="66">
        <v>0.4</v>
      </c>
      <c r="E66" s="80">
        <v>20</v>
      </c>
      <c r="F66" s="211" t="s">
        <v>269</v>
      </c>
      <c r="G66" s="144" t="s">
        <v>174</v>
      </c>
    </row>
    <row r="67" spans="2:7" ht="30" x14ac:dyDescent="0.25">
      <c r="B67" s="77" t="s">
        <v>102</v>
      </c>
      <c r="C67" s="78">
        <v>538</v>
      </c>
      <c r="D67" s="66">
        <v>0.45</v>
      </c>
      <c r="E67" s="80">
        <v>20</v>
      </c>
      <c r="F67" s="211" t="s">
        <v>269</v>
      </c>
      <c r="G67" s="144" t="s">
        <v>179</v>
      </c>
    </row>
    <row r="68" spans="2:7" ht="30" x14ac:dyDescent="0.25">
      <c r="B68" s="77" t="s">
        <v>127</v>
      </c>
      <c r="C68" s="78">
        <v>540</v>
      </c>
      <c r="D68" s="66">
        <v>0.25</v>
      </c>
      <c r="E68" s="80">
        <v>10</v>
      </c>
      <c r="F68" s="211" t="s">
        <v>269</v>
      </c>
      <c r="G68" s="144" t="s">
        <v>179</v>
      </c>
    </row>
    <row r="69" spans="2:7" ht="30" x14ac:dyDescent="0.25">
      <c r="B69" s="77" t="s">
        <v>215</v>
      </c>
      <c r="C69" s="78">
        <v>541</v>
      </c>
      <c r="D69" s="66">
        <v>0.3</v>
      </c>
      <c r="E69" s="80">
        <v>20</v>
      </c>
      <c r="F69" s="211" t="s">
        <v>269</v>
      </c>
      <c r="G69" s="144" t="s">
        <v>179</v>
      </c>
    </row>
    <row r="70" spans="2:7" ht="30" x14ac:dyDescent="0.25">
      <c r="B70" s="77" t="s">
        <v>216</v>
      </c>
      <c r="C70" s="78">
        <v>542</v>
      </c>
      <c r="D70" s="66">
        <v>0.26</v>
      </c>
      <c r="E70" s="80">
        <v>10</v>
      </c>
      <c r="F70" s="211" t="s">
        <v>269</v>
      </c>
      <c r="G70" s="144" t="s">
        <v>179</v>
      </c>
    </row>
    <row r="71" spans="2:7" ht="30" x14ac:dyDescent="0.25">
      <c r="B71" s="77" t="s">
        <v>217</v>
      </c>
      <c r="C71" s="78">
        <v>543</v>
      </c>
      <c r="D71" s="66">
        <v>7.0000000000000007E-2</v>
      </c>
      <c r="E71" s="80">
        <v>5</v>
      </c>
      <c r="F71" s="211" t="s">
        <v>269</v>
      </c>
      <c r="G71" s="144" t="s">
        <v>179</v>
      </c>
    </row>
    <row r="72" spans="2:7" ht="30" x14ac:dyDescent="0.25">
      <c r="B72" s="47" t="s">
        <v>220</v>
      </c>
      <c r="C72" s="78">
        <v>544</v>
      </c>
      <c r="D72" s="66">
        <v>0.17</v>
      </c>
      <c r="E72" s="80">
        <v>4</v>
      </c>
      <c r="F72" s="211" t="s">
        <v>269</v>
      </c>
      <c r="G72" s="144" t="s">
        <v>179</v>
      </c>
    </row>
    <row r="73" spans="2:7" x14ac:dyDescent="0.25">
      <c r="B73" s="46" t="s">
        <v>219</v>
      </c>
      <c r="C73" s="78">
        <v>545</v>
      </c>
      <c r="D73" s="66">
        <v>0.15</v>
      </c>
      <c r="E73" s="80">
        <v>5</v>
      </c>
      <c r="F73" s="214" t="s">
        <v>170</v>
      </c>
      <c r="G73" s="73" t="s">
        <v>170</v>
      </c>
    </row>
    <row r="74" spans="2:7" x14ac:dyDescent="0.25">
      <c r="B74" s="46" t="s">
        <v>218</v>
      </c>
      <c r="C74" s="78">
        <v>547</v>
      </c>
      <c r="D74" s="66">
        <v>0.4</v>
      </c>
      <c r="E74" s="80">
        <v>10</v>
      </c>
      <c r="F74" s="214" t="s">
        <v>170</v>
      </c>
      <c r="G74" s="73" t="s">
        <v>170</v>
      </c>
    </row>
  </sheetData>
  <sortState xmlns:xlrd2="http://schemas.microsoft.com/office/spreadsheetml/2017/richdata2" ref="B4:F71">
    <sortCondition ref="B4:B71"/>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7AA245CB8B4BB4FA97472EE59BBC581" ma:contentTypeVersion="12" ma:contentTypeDescription="Create a new document." ma:contentTypeScope="" ma:versionID="e6897493dae4328421a4293e07c3df1f">
  <xsd:schema xmlns:xsd="http://www.w3.org/2001/XMLSchema" xmlns:xs="http://www.w3.org/2001/XMLSchema" xmlns:p="http://schemas.microsoft.com/office/2006/metadata/properties" xmlns:ns3="5654b5c5-2d4b-4b70-8cda-bbd2a2df3e63" xmlns:ns4="81a4f861-95b9-4778-a1f2-b2822ccfe95a" targetNamespace="http://schemas.microsoft.com/office/2006/metadata/properties" ma:root="true" ma:fieldsID="f30a6fba03866a1d61a7498f98c87209" ns3:_="" ns4:_="">
    <xsd:import namespace="5654b5c5-2d4b-4b70-8cda-bbd2a2df3e63"/>
    <xsd:import namespace="81a4f861-95b9-4778-a1f2-b2822ccfe95a"/>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54b5c5-2d4b-4b70-8cda-bbd2a2df3e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1a4f861-95b9-4778-a1f2-b2822ccfe95a"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E06632-6169-4B3F-AFE7-9D49D1CC156E}">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3F18689-68D8-4516-AEDD-5D80C4E10CEC}">
  <ds:schemaRefs>
    <ds:schemaRef ds:uri="http://schemas.microsoft.com/sharepoint/v3/contenttype/forms"/>
  </ds:schemaRefs>
</ds:datastoreItem>
</file>

<file path=customXml/itemProps3.xml><?xml version="1.0" encoding="utf-8"?>
<ds:datastoreItem xmlns:ds="http://schemas.openxmlformats.org/officeDocument/2006/customXml" ds:itemID="{CC3AFA97-FCBA-44A9-930A-A1BBE4D2A9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54b5c5-2d4b-4b70-8cda-bbd2a2df3e63"/>
    <ds:schemaRef ds:uri="81a4f861-95b9-4778-a1f2-b2822ccfe9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36</vt:i4>
      </vt:variant>
    </vt:vector>
  </HeadingPairs>
  <TitlesOfParts>
    <vt:vector size="45" baseType="lpstr">
      <vt:lpstr>Instructions</vt:lpstr>
      <vt:lpstr>ITS Delay Worksheet</vt:lpstr>
      <vt:lpstr>Emissions Reduction Worksheet</vt:lpstr>
      <vt:lpstr>Inputs &amp; Outputs</vt:lpstr>
      <vt:lpstr>Preventable Crash data</vt:lpstr>
      <vt:lpstr>Calculations</vt:lpstr>
      <vt:lpstr>Assumed Values</vt:lpstr>
      <vt:lpstr>Value of Statistical Life</vt:lpstr>
      <vt:lpstr>CRF Lookup Table</vt:lpstr>
      <vt:lpstr>_2021_2045_Demand_Growth</vt:lpstr>
      <vt:lpstr>_2021_2045_V_C_Growth</vt:lpstr>
      <vt:lpstr>_2021_Peak_Period_Capacity</vt:lpstr>
      <vt:lpstr>_2021_V_C_Ratio</vt:lpstr>
      <vt:lpstr>_2021_Volume_ADT</vt:lpstr>
      <vt:lpstr>_2030_2030_Demand_Growth</vt:lpstr>
      <vt:lpstr>_2030_2045_Demand_Growth</vt:lpstr>
      <vt:lpstr>_2030_2045_V_C_Growth</vt:lpstr>
      <vt:lpstr>_2030_Peak_Period_Capacity</vt:lpstr>
      <vt:lpstr>_2030_Peak_Period_Volume</vt:lpstr>
      <vt:lpstr>_2030_V_C_Ratio</vt:lpstr>
      <vt:lpstr>_2045_Peak_Period_Capacity</vt:lpstr>
      <vt:lpstr>_2045_Peak_Period_Volume</vt:lpstr>
      <vt:lpstr>_2045_V_C_Ratio</vt:lpstr>
      <vt:lpstr>_Avg_Crash_Rate_per_100m_VMT</vt:lpstr>
      <vt:lpstr>Application_ID_Number</vt:lpstr>
      <vt:lpstr>Appropriate_Crash_Reduction_Factor</vt:lpstr>
      <vt:lpstr>Base_Year</vt:lpstr>
      <vt:lpstr>CRIS_Titles</vt:lpstr>
      <vt:lpstr>Death_Rate</vt:lpstr>
      <vt:lpstr>Incap_Injry_Rate</vt:lpstr>
      <vt:lpstr>'Assumed Values'!Print_Area</vt:lpstr>
      <vt:lpstr>Calculations!Print_Area</vt:lpstr>
      <vt:lpstr>'Emissions Reduction Worksheet'!Print_Area</vt:lpstr>
      <vt:lpstr>'Inputs &amp; Outputs'!Print_Area</vt:lpstr>
      <vt:lpstr>Instructions!Print_Area</vt:lpstr>
      <vt:lpstr>'ITS Delay Worksheet'!Print_Area</vt:lpstr>
      <vt:lpstr>Project_Title</vt:lpstr>
      <vt:lpstr>Real_Discount_Rate</vt:lpstr>
      <vt:lpstr>Service_Life</vt:lpstr>
      <vt:lpstr>Sponsor_ID_Number__CSJ__etc.</vt:lpstr>
      <vt:lpstr>Unkn_Injry_Rate</vt:lpstr>
      <vt:lpstr>Value_of_Crash_Savings__2018_____000s</vt:lpstr>
      <vt:lpstr>Value_of_Statistical_Life_2018</vt:lpstr>
      <vt:lpstr>Year_Open_to_Traffic?</vt:lpstr>
      <vt:lpstr>Years_to_include_in_BCA_Analysis</vt:lpstr>
    </vt:vector>
  </TitlesOfParts>
  <Company>Houston-Galveston Area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wurdlow</dc:creator>
  <cp:lastModifiedBy>Lingala, Vishu</cp:lastModifiedBy>
  <cp:lastPrinted>2018-08-02T18:58:13Z</cp:lastPrinted>
  <dcterms:created xsi:type="dcterms:W3CDTF">2012-07-25T15:48:32Z</dcterms:created>
  <dcterms:modified xsi:type="dcterms:W3CDTF">2021-10-06T13:17:38Z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0x01010097AA245CB8B4BB4FA97472EE59BBC581</vt:lpwstr>
  </property>
</Properties>
</file>