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Access Management/HOU_29_AM_FM762/"/>
    </mc:Choice>
  </mc:AlternateContent>
  <xr:revisionPtr revIDLastSave="16" documentId="8_{91DDE5CF-BC6D-4A77-A4F6-C23F3874612C}" xr6:coauthVersionLast="40" xr6:coauthVersionMax="40" xr10:uidLastSave="{29E629F5-5ED7-4E1C-8736-4B94E3A3CF4E}"/>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<sst xmlns="http://schemas.openxmlformats.org/spreadsheetml/2006/main" count="263" uniqueCount="131">
  <si>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</si>
  <si>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</si>
  <si>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</si>
  <si>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</si>
  <si>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</si>
  <si>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</si>
  <si>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</si>
  <si>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</si>
  <si>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</si>
  <si>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</si>
  <si>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</si>
  <si>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</si>
  <si>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</si>
  <si>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</si>
  <si>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</si>
  <si>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</si>
  <si>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</si>
  <si>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</si>
  <si>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</si>
  <si>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</si>
  <si>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</si>
  <si>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</si>
  <si>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</si>
  <si>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</si>
  <si>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</si>
  <si>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</si>
  <si>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</si>
  <si>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</si>
  <si>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</si>
  <si>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</si>
  <si>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</si>
  <si>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</si>
  <si>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</si>
  <si>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</si>
  <si>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</si>
  <si>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</si>
  <si>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</si>
  <si>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</si>
  <si>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</si>
  <si>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</si>
  <si>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</si>
  <si>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</si>
  <si>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</si>
  <si>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</si>
  <si>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</si>
  <si>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</si>
  <si>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</si>
  <si>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762 Access Management</t>
  </si>
  <si>
    <t>Data entered by the sponsors</t>
  </si>
  <si>
    <t>Application ID Number:</t>
  </si>
  <si>
    <t>Data populated/calculated based on inputs</t>
  </si>
  <si>
    <t>Sponsor ID Number (CSJ, etc.):</t>
  </si>
  <si>
    <t>N/A</t>
  </si>
  <si>
    <t xml:space="preserve">HGAC regional travel demand model data provided by HGAC </t>
  </si>
  <si>
    <t>Project County</t>
  </si>
  <si>
    <t>Fort Bend</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</si>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</sst>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5"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227</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1.32</v>
      </c>
    </row>
    <row r="17" spans="1:2">
      <c r="A17" s="86" t="s">
        <v>64</v>
      </c>
      <c r="B17" s="8">
        <v>17</v>
      </c>
    </row>
    <row r="18" spans="1:2">
      <c r="A18" s="86" t="s">
        <v>65</v>
      </c>
      <c r="B18" s="8">
        <v>24</v>
      </c>
    </row>
    <row r="19" spans="1:2">
      <c r="A19" s="76" t="s">
        <v>66</v>
      </c>
      <c r="B19" s="77">
        <f>VLOOKUP(B14,'Service Life'!C6:D8,2,FALSE)</f>
        <v>20</v>
      </c>
    </row>
    <row r="21" spans="1:2">
      <c r="A21" s="81" t="s">
        <v>67</v>
      </c>
    </row>
    <row r="22" spans="1:2" ht="20.25" customHeight="1">
      <c r="A22" s="86" t="s">
        <v>68</v>
      </c>
      <c r="B22" s="95">
        <v>25439</v>
      </c>
    </row>
    <row r="23" spans="1:2" ht="30">
      <c r="A23" s="94" t="s">
        <v>69</v>
      </c>
      <c r="B23" s="96">
        <v>31103</v>
      </c>
    </row>
    <row r="24" spans="1:2" ht="30">
      <c r="A24" s="94" t="s">
        <v>70</v>
      </c>
      <c r="B24" s="96">
        <v>34077</v>
      </c>
    </row>
    <row r="27" spans="1:2" ht="18.75">
      <c r="A27" s="79" t="s">
        <v>71</v>
      </c>
      <c r="B27" s="80"/>
    </row>
    <row r="29" spans="1:2">
      <c r="A29" s="87" t="s">
        <v>72</v>
      </c>
    </row>
    <row r="30" spans="1:2">
      <c r="A30" s="84" t="s">
        <v>73</v>
      </c>
      <c r="B30" s="35">
        <f>'Benefit Calculations'!M37</f>
        <v>5596.7824929642293</v>
      </c>
    </row>
    <row r="31" spans="1:2">
      <c r="A31" s="84" t="s">
        <v>74</v>
      </c>
      <c r="B31" s="35">
        <f>'Benefit Calculations'!Q37</f>
        <v>755.99680836717857</v>
      </c>
    </row>
    <row r="32" spans="1:2">
      <c r="B32" s="88"/>
    </row>
    <row r="33" spans="1:9">
      <c r="A33" s="87" t="s">
        <v>75</v>
      </c>
      <c r="B33" s="88"/>
    </row>
    <row r="34" spans="1:9">
      <c r="A34" s="84" t="s">
        <v>76</v>
      </c>
      <c r="B34" s="35">
        <f>$B$30+$B$31</f>
        <v>6352.7793013314076</v>
      </c>
    </row>
    <row r="35" spans="1:9">
      <c r="I35" s="89"/>
    </row>
    <row r="36" spans="1:9">
      <c r="A36" s="87" t="s">
        <v>77</v>
      </c>
    </row>
    <row r="37" spans="1:9">
      <c r="A37" s="84" t="s">
        <v>78</v>
      </c>
      <c r="B37" s="91">
        <f>'Benefit Calculations'!K37</f>
        <v>2.1289152105632958</v>
      </c>
    </row>
    <row r="38" spans="1:9">
      <c r="A38" s="84" t="s">
        <v>79</v>
      </c>
      <c r="B38" s="91">
        <f>'Benefit Calculations'!O37</f>
        <v>1.1333633942919561</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7.5058497488500006E-2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2.0580399781499999E-2</v>
      </c>
      <c r="F4" s="54">
        <v>2018</v>
      </c>
      <c r="G4" s="63">
        <f>'Inputs &amp; Outputs'!B22</f>
        <v>25439</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6.6322602331600006E-2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1.59297008067E-2</v>
      </c>
      <c r="F5" s="54">
        <f t="shared" ref="F5:F36" si="2">F4+1</f>
        <v>2019</v>
      </c>
      <c r="G5" s="63">
        <f>G4+G4*H5</f>
        <v>26180.129147464941</v>
      </c>
      <c r="H5" s="62">
        <f>$C$9</f>
        <v>2.9133580229762979E-2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26942.850040408168</v>
      </c>
      <c r="H6" s="62">
        <f t="shared" ref="H6:H11" si="7">$C$9</f>
        <v>2.9133580229762979E-2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27727.791723678871</v>
      </c>
      <c r="H7" s="62">
        <f t="shared" si="7"/>
        <v>2.9133580229762979E-2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28535.601568454826</v>
      </c>
      <c r="H8" s="62">
        <f t="shared" si="7"/>
        <v>2.9133580229762979E-2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2.9133580229762979E-2</v>
      </c>
      <c r="F9" s="54">
        <f t="shared" si="2"/>
        <v>2023</v>
      </c>
      <c r="G9" s="63">
        <f t="shared" si="6"/>
        <v>29366.945806153955</v>
      </c>
      <c r="H9" s="62">
        <f t="shared" si="7"/>
        <v>2.9133580229762979E-2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3.6594150636857226E-3</v>
      </c>
      <c r="F10" s="54">
        <f t="shared" si="2"/>
        <v>2024</v>
      </c>
      <c r="G10" s="63">
        <f t="shared" si="6"/>
        <v>30222.510077900643</v>
      </c>
      <c r="H10" s="62">
        <f t="shared" si="7"/>
        <v>2.9133580229762979E-2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1.0886207471521248E-2</v>
      </c>
      <c r="F11" s="54">
        <f t="shared" si="2"/>
        <v>2025</v>
      </c>
      <c r="G11" s="63">
        <f>'Inputs &amp; Outputs'!$B$23</f>
        <v>31103</v>
      </c>
      <c r="H11" s="62">
        <f t="shared" si="7"/>
        <v>2.9133580229762979E-2</v>
      </c>
      <c r="I11" s="54">
        <f>IF(AND(F11&gt;='Inputs &amp; Outputs'!B$13,F11&lt;'Inputs &amp; Outputs'!B$13+'Inputs &amp; Outputs'!B$19),1,0)</f>
        <v>1</v>
      </c>
      <c r="J11" s="55">
        <f>I11*'Inputs &amp; Outputs'!B$16*'Benefit Calculations'!G11*('Benefit Calculations'!C$4-'Benefit Calculations'!C$5)</f>
        <v>358.66056212588012</v>
      </c>
      <c r="K11" s="71">
        <f t="shared" si="3"/>
        <v>0.1027925383965423</v>
      </c>
      <c r="L11" s="56">
        <f>K11*'Assumed Values'!$C$8</f>
        <v>771.76637828123955</v>
      </c>
      <c r="M11" s="57">
        <f t="shared" si="0"/>
        <v>480.61731286984764</v>
      </c>
      <c r="N11" s="55">
        <f>I11*'Inputs &amp; Outputs'!B$16*'Benefit Calculations'!G11*('Benefit Calculations'!D$4-'Benefit Calculations'!D$5)</f>
        <v>190.93891108142978</v>
      </c>
      <c r="O11" s="71">
        <f t="shared" si="4"/>
        <v>5.4723316197344468E-2</v>
      </c>
      <c r="P11" s="56">
        <f>ABS(O11*'Assumed Values'!$C$7)</f>
        <v>104.24791735594121</v>
      </c>
      <c r="Q11" s="57">
        <f t="shared" si="1"/>
        <v>64.920363625418574</v>
      </c>
      <c r="T11" s="68">
        <f t="shared" si="5"/>
        <v>9.3251746152728826E-2</v>
      </c>
      <c r="U11" s="69">
        <f>T11*'Assumed Values'!$D$8</f>
        <v>0</v>
      </c>
    </row>
    <row r="12" spans="2:21">
      <c r="C12" s="38"/>
      <c r="F12" s="54">
        <f t="shared" si="2"/>
        <v>2026</v>
      </c>
      <c r="G12" s="63">
        <f t="shared" si="6"/>
        <v>31216.818786725817</v>
      </c>
      <c r="H12" s="62">
        <f>$C$10</f>
        <v>3.6594150636857226E-3</v>
      </c>
      <c r="I12" s="54">
        <f>IF(AND(F12&gt;='Inputs &amp; Outputs'!B$13,F12&lt;'Inputs &amp; Outputs'!B$13+'Inputs &amp; Outputs'!B$19),1,0)</f>
        <v>1</v>
      </c>
      <c r="J12" s="55">
        <f>I12*'Inputs &amp; Outputs'!B$16*'Benefit Calculations'!G12*('Benefit Calculations'!C$4-'Benefit Calculations'!C$5)</f>
        <v>359.9730499896736</v>
      </c>
      <c r="K12" s="71">
        <f t="shared" si="3"/>
        <v>0.10316869895998511</v>
      </c>
      <c r="L12" s="56">
        <f>K12*'Assumed Values'!$C$8</f>
        <v>774.59059179156816</v>
      </c>
      <c r="M12" s="57">
        <f t="shared" si="0"/>
        <v>450.81877673311379</v>
      </c>
      <c r="N12" s="55">
        <f>I12*'Inputs &amp; Outputs'!B$16*'Benefit Calculations'!G12*('Benefit Calculations'!D$4-'Benefit Calculations'!D$5)</f>
        <v>191.63763580888491</v>
      </c>
      <c r="O12" s="71">
        <f t="shared" si="4"/>
        <v>5.4923571524971862E-2</v>
      </c>
      <c r="P12" s="56">
        <f>ABS(O12*'Assumed Values'!$C$7)</f>
        <v>104.62940375507139</v>
      </c>
      <c r="Q12" s="57">
        <f t="shared" si="1"/>
        <v>60.895265590662973</v>
      </c>
      <c r="T12" s="68">
        <f t="shared" si="5"/>
        <v>9.3592992997315133E-2</v>
      </c>
      <c r="U12" s="69">
        <f>T12*'Assumed Values'!$D$8</f>
        <v>0</v>
      </c>
    </row>
    <row r="13" spans="2:21">
      <c r="C13" s="38"/>
      <c r="F13" s="54">
        <f t="shared" si="2"/>
        <v>2027</v>
      </c>
      <c r="G13" s="63">
        <f t="shared" si="6"/>
        <v>31331.05408363431</v>
      </c>
      <c r="H13" s="62">
        <f t="shared" ref="H13:H36" si="8">$C$10</f>
        <v>3.6594150636857226E-3</v>
      </c>
      <c r="I13" s="54">
        <f>IF(AND(F13&gt;='Inputs &amp; Outputs'!B$13,F13&lt;'Inputs &amp; Outputs'!B$13+'Inputs &amp; Outputs'!B$19),1,0)</f>
        <v>1</v>
      </c>
      <c r="J13" s="55">
        <f>I13*'Inputs &amp; Outputs'!B$16*'Benefit Calculations'!G13*('Benefit Calculations'!C$4-'Benefit Calculations'!C$5)</f>
        <v>361.29034079132674</v>
      </c>
      <c r="K13" s="71">
        <f t="shared" si="3"/>
        <v>0.10354623605106014</v>
      </c>
      <c r="L13" s="56">
        <f>K13*'Assumed Values'!$C$8</f>
        <v>777.42514027135951</v>
      </c>
      <c r="M13" s="57">
        <f t="shared" si="0"/>
        <v>422.86776612680683</v>
      </c>
      <c r="N13" s="55">
        <f>I13*'Inputs &amp; Outputs'!B$16*'Benefit Calculations'!G13*('Benefit Calculations'!D$4-'Benefit Calculations'!D$5)</f>
        <v>192.33891746013308</v>
      </c>
      <c r="O13" s="71">
        <f t="shared" si="4"/>
        <v>5.512455966996177E-2</v>
      </c>
      <c r="P13" s="56">
        <f>ABS(O13*'Assumed Values'!$C$7)</f>
        <v>105.01228617127717</v>
      </c>
      <c r="Q13" s="57">
        <f t="shared" si="1"/>
        <v>57.119725834460361</v>
      </c>
      <c r="T13" s="68">
        <f t="shared" si="5"/>
        <v>9.3935488605744952E-2</v>
      </c>
      <c r="U13" s="69">
        <f>T13*'Assumed Values'!$D$8</f>
        <v>0</v>
      </c>
    </row>
    <row r="14" spans="2:21">
      <c r="C14" s="38"/>
      <c r="F14" s="54">
        <f t="shared" si="2"/>
        <v>2028</v>
      </c>
      <c r="G14" s="63">
        <f t="shared" si="6"/>
        <v>31445.707414909113</v>
      </c>
      <c r="H14" s="62">
        <f t="shared" si="8"/>
        <v>3.6594150636857226E-3</v>
      </c>
      <c r="I14" s="54">
        <f>IF(AND(F14&gt;='Inputs &amp; Outputs'!B$13,F14&lt;'Inputs &amp; Outputs'!B$13+'Inputs &amp; Outputs'!B$19),1,0)</f>
        <v>1</v>
      </c>
      <c r="J14" s="55">
        <f>I14*'Inputs &amp; Outputs'!B$16*'Benefit Calculations'!G14*('Benefit Calculations'!C$4-'Benefit Calculations'!C$5)</f>
        <v>362.6124521067826</v>
      </c>
      <c r="K14" s="71">
        <f t="shared" si="3"/>
        <v>0.10392515470705334</v>
      </c>
      <c r="L14" s="56">
        <f>K14*'Assumed Values'!$C$8</f>
        <v>780.27006154055641</v>
      </c>
      <c r="M14" s="57">
        <f t="shared" si="0"/>
        <v>396.64973345805453</v>
      </c>
      <c r="N14" s="55">
        <f>I14*'Inputs &amp; Outputs'!B$16*'Benefit Calculations'!G14*('Benefit Calculations'!D$4-'Benefit Calculations'!D$5)</f>
        <v>193.04276539201967</v>
      </c>
      <c r="O14" s="71">
        <f t="shared" si="4"/>
        <v>5.5326283313997061E-2</v>
      </c>
      <c r="P14" s="56">
        <f>ABS(O14*'Assumed Values'!$C$7)</f>
        <v>105.3965697131644</v>
      </c>
      <c r="Q14" s="57">
        <f t="shared" si="1"/>
        <v>53.578271607114559</v>
      </c>
      <c r="T14" s="68">
        <f t="shared" si="5"/>
        <v>9.4279237547763475E-2</v>
      </c>
      <c r="U14" s="69">
        <f>T14*'Assumed Values'!$D$8</f>
        <v>0</v>
      </c>
    </row>
    <row r="15" spans="2:21">
      <c r="C15" s="1"/>
      <c r="F15" s="54">
        <f t="shared" si="2"/>
        <v>2029</v>
      </c>
      <c r="G15" s="63">
        <f t="shared" si="6"/>
        <v>31560.780310311486</v>
      </c>
      <c r="H15" s="62">
        <f t="shared" si="8"/>
        <v>3.6594150636857226E-3</v>
      </c>
      <c r="I15" s="54">
        <f>IF(AND(F15&gt;='Inputs &amp; Outputs'!B$13,F15&lt;'Inputs &amp; Outputs'!B$13+'Inputs &amp; Outputs'!B$19),1,0)</f>
        <v>1</v>
      </c>
      <c r="J15" s="55">
        <f>I15*'Inputs &amp; Outputs'!B$16*'Benefit Calculations'!G15*('Benefit Calculations'!C$4-'Benefit Calculations'!C$5)</f>
        <v>363.93940157630226</v>
      </c>
      <c r="K15" s="71">
        <f t="shared" si="3"/>
        <v>0.10430545998368422</v>
      </c>
      <c r="L15" s="56">
        <f>K15*'Assumed Values'!$C$8</f>
        <v>783.12539355750118</v>
      </c>
      <c r="M15" s="57">
        <f t="shared" si="0"/>
        <v>372.05723314736258</v>
      </c>
      <c r="N15" s="55">
        <f>I15*'Inputs &amp; Outputs'!B$16*'Benefit Calculations'!G15*('Benefit Calculations'!D$4-'Benefit Calculations'!D$5)</f>
        <v>193.74918899563082</v>
      </c>
      <c r="O15" s="71">
        <f t="shared" si="4"/>
        <v>5.552874514857406E-2</v>
      </c>
      <c r="P15" s="56">
        <f>ABS(O15*'Assumed Values'!$C$7)</f>
        <v>105.78225950803359</v>
      </c>
      <c r="Q15" s="57">
        <f t="shared" si="1"/>
        <v>50.256389477869057</v>
      </c>
      <c r="T15" s="68">
        <f t="shared" si="5"/>
        <v>9.462424440983859E-2</v>
      </c>
      <c r="U15" s="69">
        <f>T15*'Assumed Values'!$D$8</f>
        <v>0</v>
      </c>
    </row>
    <row r="16" spans="2:21">
      <c r="C16" s="1"/>
      <c r="F16" s="54">
        <f t="shared" si="2"/>
        <v>2030</v>
      </c>
      <c r="G16" s="63">
        <f t="shared" si="6"/>
        <v>31676.274305200714</v>
      </c>
      <c r="H16" s="62">
        <f t="shared" si="8"/>
        <v>3.6594150636857226E-3</v>
      </c>
      <c r="I16" s="54">
        <f>IF(AND(F16&gt;='Inputs &amp; Outputs'!B$13,F16&lt;'Inputs &amp; Outputs'!B$13+'Inputs &amp; Outputs'!B$19),1,0)</f>
        <v>1</v>
      </c>
      <c r="J16" s="55">
        <f>I16*'Inputs &amp; Outputs'!B$16*'Benefit Calculations'!G16*('Benefit Calculations'!C$4-'Benefit Calculations'!C$5)</f>
        <v>365.27120690469928</v>
      </c>
      <c r="K16" s="71">
        <f t="shared" si="3"/>
        <v>0.10468715695517317</v>
      </c>
      <c r="L16" s="56">
        <f>K16*'Assumed Values'!$C$8</f>
        <v>785.99117441944009</v>
      </c>
      <c r="M16" s="57">
        <f t="shared" si="0"/>
        <v>348.98948129990208</v>
      </c>
      <c r="N16" s="55">
        <f>I16*'Inputs &amp; Outputs'!B$16*'Benefit Calculations'!G16*('Benefit Calculations'!D$4-'Benefit Calculations'!D$5)</f>
        <v>194.4581976964183</v>
      </c>
      <c r="O16" s="71">
        <f t="shared" si="4"/>
        <v>5.573194787503831E-2</v>
      </c>
      <c r="P16" s="56">
        <f>ABS(O16*'Assumed Values'!$C$7)</f>
        <v>106.16936070194798</v>
      </c>
      <c r="Q16" s="57">
        <f t="shared" si="1"/>
        <v>47.140465856608252</v>
      </c>
      <c r="T16" s="68">
        <f t="shared" si="5"/>
        <v>9.4970513795221811E-2</v>
      </c>
      <c r="U16" s="69">
        <f>T16*'Assumed Values'!$D$8</f>
        <v>0</v>
      </c>
    </row>
    <row r="17" spans="3:21">
      <c r="C17" s="1"/>
      <c r="F17" s="54">
        <f t="shared" si="2"/>
        <v>2031</v>
      </c>
      <c r="G17" s="63">
        <f t="shared" si="6"/>
        <v>31792.190940554607</v>
      </c>
      <c r="H17" s="62">
        <f t="shared" si="8"/>
        <v>3.6594150636857226E-3</v>
      </c>
      <c r="I17" s="54">
        <f>IF(AND(F17&gt;='Inputs &amp; Outputs'!B$13,F17&lt;'Inputs &amp; Outputs'!B$13+'Inputs &amp; Outputs'!B$19),1,0)</f>
        <v>1</v>
      </c>
      <c r="J17" s="55">
        <f>I17*'Inputs &amp; Outputs'!B$16*'Benefit Calculations'!G17*('Benefit Calculations'!C$4-'Benefit Calculations'!C$5)</f>
        <v>366.60788586157702</v>
      </c>
      <c r="K17" s="71">
        <f t="shared" si="3"/>
        <v>0.10507025071430935</v>
      </c>
      <c r="L17" s="56">
        <f>K17*'Assumed Values'!$C$8</f>
        <v>788.86744236303457</v>
      </c>
      <c r="M17" s="57">
        <f t="shared" si="0"/>
        <v>327.3519426774194</v>
      </c>
      <c r="N17" s="55">
        <f>I17*'Inputs &amp; Outputs'!B$16*'Benefit Calculations'!G17*('Benefit Calculations'!D$4-'Benefit Calculations'!D$5)</f>
        <v>195.16980095432575</v>
      </c>
      <c r="O17" s="71">
        <f t="shared" si="4"/>
        <v>5.5935894204620779E-2</v>
      </c>
      <c r="P17" s="56">
        <f>ABS(O17*'Assumed Values'!$C$7)</f>
        <v>106.55787845980258</v>
      </c>
      <c r="Q17" s="57">
        <f t="shared" si="1"/>
        <v>44.217731203245876</v>
      </c>
      <c r="T17" s="68">
        <f t="shared" si="5"/>
        <v>9.5318050324010029E-2</v>
      </c>
      <c r="U17" s="69">
        <f>T17*'Assumed Values'!$D$8</f>
        <v>0</v>
      </c>
    </row>
    <row r="18" spans="3:21">
      <c r="F18" s="54">
        <f t="shared" si="2"/>
        <v>2032</v>
      </c>
      <c r="G18" s="63">
        <f t="shared" si="6"/>
        <v>31908.531762990046</v>
      </c>
      <c r="H18" s="62">
        <f t="shared" si="8"/>
        <v>3.6594150636857226E-3</v>
      </c>
      <c r="I18" s="54">
        <f>IF(AND(F18&gt;='Inputs &amp; Outputs'!B$13,F18&lt;'Inputs &amp; Outputs'!B$13+'Inputs &amp; Outputs'!B$19),1,0)</f>
        <v>1</v>
      </c>
      <c r="J18" s="55">
        <f>I18*'Inputs &amp; Outputs'!B$16*'Benefit Calculations'!G18*('Benefit Calculations'!C$4-'Benefit Calculations'!C$5)</f>
        <v>367.94945628156489</v>
      </c>
      <c r="K18" s="71">
        <f t="shared" si="3"/>
        <v>0.10545474637251856</v>
      </c>
      <c r="L18" s="56">
        <f>K18*'Assumed Values'!$C$8</f>
        <v>791.75423576486935</v>
      </c>
      <c r="M18" s="57">
        <f t="shared" si="0"/>
        <v>307.05594327811224</v>
      </c>
      <c r="N18" s="55">
        <f>I18*'Inputs &amp; Outputs'!B$16*'Benefit Calculations'!G18*('Benefit Calculations'!D$4-'Benefit Calculations'!D$5)</f>
        <v>195.88400826391458</v>
      </c>
      <c r="O18" s="71">
        <f t="shared" si="4"/>
        <v>5.6140586858473909E-2</v>
      </c>
      <c r="P18" s="56">
        <f>ABS(O18*'Assumed Values'!$C$7)</f>
        <v>106.9478179653928</v>
      </c>
      <c r="Q18" s="57">
        <f t="shared" si="1"/>
        <v>41.47620769616173</v>
      </c>
      <c r="T18" s="68">
        <f t="shared" si="5"/>
        <v>9.5666858633206869E-2</v>
      </c>
      <c r="U18" s="69">
        <f>T18*'Assumed Values'!$D$8</f>
        <v>0</v>
      </c>
    </row>
    <row r="19" spans="3:21">
      <c r="F19" s="54">
        <f t="shared" si="2"/>
        <v>2033</v>
      </c>
      <c r="G19" s="63">
        <f t="shared" si="6"/>
        <v>32025.298324783627</v>
      </c>
      <c r="H19" s="62">
        <f t="shared" si="8"/>
        <v>3.6594150636857226E-3</v>
      </c>
      <c r="I19" s="54">
        <f>IF(AND(F19&gt;='Inputs &amp; Outputs'!B$13,F19&lt;'Inputs &amp; Outputs'!B$13+'Inputs &amp; Outputs'!B$19),1,0)</f>
        <v>1</v>
      </c>
      <c r="J19" s="55">
        <f>I19*'Inputs &amp; Outputs'!B$16*'Benefit Calculations'!G19*('Benefit Calculations'!C$4-'Benefit Calculations'!C$5)</f>
        <v>369.2959360645566</v>
      </c>
      <c r="K19" s="71">
        <f t="shared" si="3"/>
        <v>0.1058406490599313</v>
      </c>
      <c r="L19" s="56">
        <f>K19*'Assumed Values'!$C$8</f>
        <v>794.65159314196421</v>
      </c>
      <c r="M19" s="57">
        <f t="shared" si="0"/>
        <v>288.01830693676476</v>
      </c>
      <c r="N19" s="55">
        <f>I19*'Inputs &amp; Outputs'!B$16*'Benefit Calculations'!G19*('Benefit Calculations'!D$4-'Benefit Calculations'!D$5)</f>
        <v>196.60082915449067</v>
      </c>
      <c r="O19" s="71">
        <f t="shared" si="4"/>
        <v>5.6346028567707956E-2</v>
      </c>
      <c r="P19" s="56">
        <f>ABS(O19*'Assumed Values'!$C$7)</f>
        <v>107.33918442148365</v>
      </c>
      <c r="Q19" s="57">
        <f t="shared" si="1"/>
        <v>38.904660145223929</v>
      </c>
      <c r="T19" s="68">
        <f t="shared" si="5"/>
        <v>9.6016943376784722E-2</v>
      </c>
      <c r="U19" s="69">
        <f>T19*'Assumed Values'!$D$8</f>
        <v>0</v>
      </c>
    </row>
    <row r="20" spans="3:21">
      <c r="F20" s="54">
        <f t="shared" si="2"/>
        <v>2034</v>
      </c>
      <c r="G20" s="63">
        <f t="shared" si="6"/>
        <v>32142.492183892369</v>
      </c>
      <c r="H20" s="62">
        <f t="shared" si="8"/>
        <v>3.6594150636857226E-3</v>
      </c>
      <c r="I20" s="54">
        <f>IF(AND(F20&gt;='Inputs &amp; Outputs'!B$13,F20&lt;'Inputs &amp; Outputs'!B$13+'Inputs &amp; Outputs'!B$19),1,0)</f>
        <v>1</v>
      </c>
      <c r="J20" s="55">
        <f>I20*'Inputs &amp; Outputs'!B$16*'Benefit Calculations'!G20*('Benefit Calculations'!C$4-'Benefit Calculations'!C$5)</f>
        <v>370.64734317594917</v>
      </c>
      <c r="K20" s="71">
        <f t="shared" si="3"/>
        <v>0.10622796392545149</v>
      </c>
      <c r="L20" s="56">
        <f>K20*'Assumed Values'!$C$8</f>
        <v>797.55955315228982</v>
      </c>
      <c r="M20" s="57">
        <f t="shared" si="0"/>
        <v>270.1610144558752</v>
      </c>
      <c r="N20" s="55">
        <f>I20*'Inputs &amp; Outputs'!B$16*'Benefit Calculations'!G20*('Benefit Calculations'!D$4-'Benefit Calculations'!D$5)</f>
        <v>197.32027319023175</v>
      </c>
      <c r="O20" s="71">
        <f t="shared" si="4"/>
        <v>5.6552222073427499E-2</v>
      </c>
      <c r="P20" s="56">
        <f>ABS(O20*'Assumed Values'!$C$7)</f>
        <v>107.73198304987939</v>
      </c>
      <c r="Q20" s="57">
        <f t="shared" si="1"/>
        <v>36.492549948230796</v>
      </c>
      <c r="T20" s="68">
        <f t="shared" si="5"/>
        <v>9.6368309225746782E-2</v>
      </c>
      <c r="U20" s="69">
        <f>T20*'Assumed Values'!$D$8</f>
        <v>0</v>
      </c>
    </row>
    <row r="21" spans="3:21">
      <c r="F21" s="54">
        <f t="shared" si="2"/>
        <v>2035</v>
      </c>
      <c r="G21" s="63">
        <f t="shared" si="6"/>
        <v>32260.114903974507</v>
      </c>
      <c r="H21" s="62">
        <f t="shared" si="8"/>
        <v>3.6594150636857226E-3</v>
      </c>
      <c r="I21" s="54">
        <f>IF(AND(F21&gt;='Inputs &amp; Outputs'!B$13,F21&lt;'Inputs &amp; Outputs'!B$13+'Inputs &amp; Outputs'!B$19),1,0)</f>
        <v>1</v>
      </c>
      <c r="J21" s="55">
        <f>I21*'Inputs &amp; Outputs'!B$16*'Benefit Calculations'!G21*('Benefit Calculations'!C$4-'Benefit Calculations'!C$5)</f>
        <v>372.00369564688236</v>
      </c>
      <c r="K21" s="71">
        <f t="shared" si="3"/>
        <v>0.10661669613682495</v>
      </c>
      <c r="L21" s="56">
        <f>K21*'Assumed Values'!$C$8</f>
        <v>800.47815459528169</v>
      </c>
      <c r="M21" s="57">
        <f t="shared" si="0"/>
        <v>253.41088387083704</v>
      </c>
      <c r="N21" s="55">
        <f>I21*'Inputs &amp; Outputs'!B$16*'Benefit Calculations'!G21*('Benefit Calculations'!D$4-'Benefit Calculations'!D$5)</f>
        <v>198.04234997031466</v>
      </c>
      <c r="O21" s="71">
        <f t="shared" si="4"/>
        <v>5.6759170126767899E-2</v>
      </c>
      <c r="P21" s="56">
        <f>ABS(O21*'Assumed Values'!$C$7)</f>
        <v>108.12621909149284</v>
      </c>
      <c r="Q21" s="57">
        <f t="shared" si="1"/>
        <v>34.229991902078176</v>
      </c>
      <c r="T21" s="68">
        <f t="shared" si="5"/>
        <v>9.6720960868189418E-2</v>
      </c>
      <c r="U21" s="69">
        <f>T21*'Assumed Values'!$D$8</f>
        <v>0</v>
      </c>
    </row>
    <row r="22" spans="3:21">
      <c r="F22" s="54">
        <f t="shared" si="2"/>
        <v>2036</v>
      </c>
      <c r="G22" s="63">
        <f t="shared" si="6"/>
        <v>32378.168054410344</v>
      </c>
      <c r="H22" s="62">
        <f t="shared" si="8"/>
        <v>3.6594150636857226E-3</v>
      </c>
      <c r="I22" s="54">
        <f>IF(AND(F22&gt;='Inputs &amp; Outputs'!B$13,F22&lt;'Inputs &amp; Outputs'!B$13+'Inputs &amp; Outputs'!B$19),1,0)</f>
        <v>1</v>
      </c>
      <c r="J22" s="55">
        <f>I22*'Inputs &amp; Outputs'!B$16*'Benefit Calculations'!G22*('Benefit Calculations'!C$4-'Benefit Calculations'!C$5)</f>
        <v>373.3650115744793</v>
      </c>
      <c r="K22" s="71">
        <f t="shared" si="3"/>
        <v>0.10700685088070845</v>
      </c>
      <c r="L22" s="56">
        <f>K22*'Assumed Values'!$C$8</f>
        <v>803.40743641235906</v>
      </c>
      <c r="M22" s="57">
        <f t="shared" si="0"/>
        <v>237.69927053885598</v>
      </c>
      <c r="N22" s="55">
        <f>I22*'Inputs &amp; Outputs'!B$16*'Benefit Calculations'!G22*('Benefit Calculations'!D$4-'Benefit Calculations'!D$5)</f>
        <v>198.76706912904373</v>
      </c>
      <c r="O22" s="71">
        <f t="shared" si="4"/>
        <v>5.6966875488932089E-2</v>
      </c>
      <c r="P22" s="56">
        <f>ABS(O22*'Assumed Values'!$C$7)</f>
        <v>108.52189780641564</v>
      </c>
      <c r="Q22" s="57">
        <f t="shared" si="1"/>
        <v>32.107713691658397</v>
      </c>
      <c r="T22" s="68">
        <f t="shared" si="5"/>
        <v>9.707490300936461E-2</v>
      </c>
      <c r="U22" s="69">
        <f>T22*'Assumed Values'!$D$8</f>
        <v>0</v>
      </c>
    </row>
    <row r="23" spans="3:21">
      <c r="F23" s="54">
        <f t="shared" si="2"/>
        <v>2037</v>
      </c>
      <c r="G23" s="63">
        <f t="shared" si="6"/>
        <v>32496.653210323202</v>
      </c>
      <c r="H23" s="62">
        <f t="shared" si="8"/>
        <v>3.6594150636857226E-3</v>
      </c>
      <c r="I23" s="54">
        <f>IF(AND(F23&gt;='Inputs &amp; Outputs'!B$13,F23&lt;'Inputs &amp; Outputs'!B$13+'Inputs &amp; Outputs'!B$19),1,0)</f>
        <v>1</v>
      </c>
      <c r="J23" s="55">
        <f>I23*'Inputs &amp; Outputs'!B$16*'Benefit Calculations'!G23*('Benefit Calculations'!C$4-'Benefit Calculations'!C$5)</f>
        <v>374.73130912208813</v>
      </c>
      <c r="K23" s="71">
        <f t="shared" si="3"/>
        <v>0.10739843336273888</v>
      </c>
      <c r="L23" s="56">
        <f>K23*'Assumed Values'!$C$8</f>
        <v>806.34743768744352</v>
      </c>
      <c r="M23" s="57">
        <f t="shared" si="0"/>
        <v>222.96178582251679</v>
      </c>
      <c r="N23" s="55">
        <f>I23*'Inputs &amp; Outputs'!B$16*'Benefit Calculations'!G23*('Benefit Calculations'!D$4-'Benefit Calculations'!D$5)</f>
        <v>199.49444033597922</v>
      </c>
      <c r="O23" s="71">
        <f t="shared" si="4"/>
        <v>5.7175340931227399E-2</v>
      </c>
      <c r="P23" s="56">
        <f>ABS(O23*'Assumed Values'!$C$7)</f>
        <v>108.9190244739882</v>
      </c>
      <c r="Q23" s="57">
        <f t="shared" si="1"/>
        <v>30.117017890469306</v>
      </c>
      <c r="T23" s="68">
        <f t="shared" si="5"/>
        <v>9.7430140371742927E-2</v>
      </c>
      <c r="U23" s="69">
        <f>T23*'Assumed Values'!$D$8</f>
        <v>0</v>
      </c>
    </row>
    <row r="24" spans="3:21">
      <c r="F24" s="54">
        <f t="shared" si="2"/>
        <v>2038</v>
      </c>
      <c r="G24" s="63">
        <f t="shared" si="6"/>
        <v>32615.571952600429</v>
      </c>
      <c r="H24" s="62">
        <f t="shared" si="8"/>
        <v>3.6594150636857226E-3</v>
      </c>
      <c r="I24" s="54">
        <f>IF(AND(F24&gt;='Inputs &amp; Outputs'!B$13,F24&lt;'Inputs &amp; Outputs'!B$13+'Inputs &amp; Outputs'!B$19),1,0)</f>
        <v>1</v>
      </c>
      <c r="J24" s="55">
        <f>I24*'Inputs &amp; Outputs'!B$16*'Benefit Calculations'!G24*('Benefit Calculations'!C$4-'Benefit Calculations'!C$5)</f>
        <v>376.10260651952422</v>
      </c>
      <c r="K24" s="71">
        <f t="shared" si="3"/>
        <v>0.10779144880760275</v>
      </c>
      <c r="L24" s="56">
        <f>K24*'Assumed Values'!$C$8</f>
        <v>809.2981976474814</v>
      </c>
      <c r="M24" s="57">
        <f t="shared" si="0"/>
        <v>209.13803321512336</v>
      </c>
      <c r="N24" s="55">
        <f>I24*'Inputs &amp; Outputs'!B$16*'Benefit Calculations'!G24*('Benefit Calculations'!D$4-'Benefit Calculations'!D$5)</f>
        <v>200.22447329606626</v>
      </c>
      <c r="O24" s="71">
        <f t="shared" si="4"/>
        <v>5.7384569235102503E-2</v>
      </c>
      <c r="P24" s="56">
        <f>ABS(O24*'Assumed Values'!$C$7)</f>
        <v>109.31760439287027</v>
      </c>
      <c r="Q24" s="57">
        <f t="shared" si="1"/>
        <v>28.249746317206526</v>
      </c>
      <c r="T24" s="68">
        <f t="shared" si="5"/>
        <v>9.7786677695076304E-2</v>
      </c>
      <c r="U24" s="69">
        <f>T24*'Assumed Values'!$D$8</f>
        <v>0</v>
      </c>
    </row>
    <row r="25" spans="3:21">
      <c r="F25" s="54">
        <f t="shared" si="2"/>
        <v>2039</v>
      </c>
      <c r="G25" s="63">
        <f t="shared" si="6"/>
        <v>32734.925867914499</v>
      </c>
      <c r="H25" s="62">
        <f t="shared" si="8"/>
        <v>3.6594150636857226E-3</v>
      </c>
      <c r="I25" s="54">
        <f>IF(AND(F25&gt;='Inputs &amp; Outputs'!B$13,F25&lt;'Inputs &amp; Outputs'!B$13+'Inputs &amp; Outputs'!B$19),1,0)</f>
        <v>1</v>
      </c>
      <c r="J25" s="55">
        <f>I25*'Inputs &amp; Outputs'!B$16*'Benefit Calculations'!G25*('Benefit Calculations'!C$4-'Benefit Calculations'!C$5)</f>
        <v>377.47892206331318</v>
      </c>
      <c r="K25" s="71">
        <f t="shared" si="3"/>
        <v>0.1081859024591058</v>
      </c>
      <c r="L25" s="56">
        <f>K25*'Assumed Values'!$C$8</f>
        <v>812.25975566296631</v>
      </c>
      <c r="M25" s="57">
        <f t="shared" si="0"/>
        <v>196.17136082641156</v>
      </c>
      <c r="N25" s="55">
        <f>I25*'Inputs &amp; Outputs'!B$16*'Benefit Calculations'!G25*('Benefit Calculations'!D$4-'Benefit Calculations'!D$5)</f>
        <v>200.95717774976441</v>
      </c>
      <c r="O25" s="71">
        <f t="shared" si="4"/>
        <v>5.7594563192184541E-2</v>
      </c>
      <c r="P25" s="56">
        <f>ABS(O25*'Assumed Values'!$C$7)</f>
        <v>109.71764288111154</v>
      </c>
      <c r="Q25" s="57">
        <f t="shared" si="1"/>
        <v>26.498246602266359</v>
      </c>
      <c r="T25" s="68">
        <f t="shared" si="5"/>
        <v>9.8144519736461433E-2</v>
      </c>
      <c r="U25" s="69">
        <f>T25*'Assumed Values'!$D$8</f>
        <v>0</v>
      </c>
    </row>
    <row r="26" spans="3:21">
      <c r="F26" s="54">
        <f t="shared" si="2"/>
        <v>2040</v>
      </c>
      <c r="G26" s="63">
        <f t="shared" si="6"/>
        <v>32854.716548744182</v>
      </c>
      <c r="H26" s="62">
        <f t="shared" si="8"/>
        <v>3.6594150636857226E-3</v>
      </c>
      <c r="I26" s="54">
        <f>IF(AND(F26&gt;='Inputs &amp; Outputs'!B$13,F26&lt;'Inputs &amp; Outputs'!B$13+'Inputs &amp; Outputs'!B$19),1,0)</f>
        <v>1</v>
      </c>
      <c r="J26" s="55">
        <f>I26*'Inputs &amp; Outputs'!B$16*'Benefit Calculations'!G26*('Benefit Calculations'!C$4-'Benefit Calculations'!C$5)</f>
        <v>378.8602741169355</v>
      </c>
      <c r="K26" s="71">
        <f t="shared" si="3"/>
        <v>0.10858179958024307</v>
      </c>
      <c r="L26" s="56">
        <f>K26*'Assumed Values'!$C$8</f>
        <v>815.2321512484649</v>
      </c>
      <c r="M26" s="57">
        <f t="shared" si="0"/>
        <v>184.00862921428359</v>
      </c>
      <c r="N26" s="55">
        <f>I26*'Inputs &amp; Outputs'!B$16*'Benefit Calculations'!G26*('Benefit Calculations'!D$4-'Benefit Calculations'!D$5)</f>
        <v>201.69256347317767</v>
      </c>
      <c r="O26" s="71">
        <f t="shared" si="4"/>
        <v>5.7805325604316428E-2</v>
      </c>
      <c r="P26" s="56">
        <f>ABS(O26*'Assumed Values'!$C$7)</f>
        <v>110.1191452762228</v>
      </c>
      <c r="Q26" s="57">
        <f t="shared" si="1"/>
        <v>24.855340827143884</v>
      </c>
      <c r="T26" s="68">
        <f t="shared" si="5"/>
        <v>9.8503671270403229E-2</v>
      </c>
      <c r="U26" s="69">
        <f>T26*'Assumed Values'!$D$8</f>
        <v>0</v>
      </c>
    </row>
    <row r="27" spans="3:21">
      <c r="F27" s="54">
        <f t="shared" si="2"/>
        <v>2041</v>
      </c>
      <c r="G27" s="63">
        <f t="shared" si="6"/>
        <v>32974.94559339578</v>
      </c>
      <c r="H27" s="62">
        <f t="shared" si="8"/>
        <v>3.6594150636857226E-3</v>
      </c>
      <c r="I27" s="54">
        <f>IF(AND(F27&gt;='Inputs &amp; Outputs'!B$13,F27&lt;'Inputs &amp; Outputs'!B$13+'Inputs &amp; Outputs'!B$19),1,0)</f>
        <v>1</v>
      </c>
      <c r="J27" s="55">
        <f>I27*'Inputs &amp; Outputs'!B$16*'Benefit Calculations'!G27*('Benefit Calculations'!C$4-'Benefit Calculations'!C$5)</f>
        <v>380.24668111107115</v>
      </c>
      <c r="K27" s="71">
        <f t="shared" si="3"/>
        <v>0.10897914545326913</v>
      </c>
      <c r="L27" s="56">
        <f>K27*'Assumed Values'!$C$8</f>
        <v>818.21542406314461</v>
      </c>
      <c r="M27" s="57">
        <f t="shared" si="0"/>
        <v>172.59999361110144</v>
      </c>
      <c r="N27" s="55">
        <f>I27*'Inputs &amp; Outputs'!B$16*'Benefit Calculations'!G27*('Benefit Calculations'!D$4-'Benefit Calculations'!D$5)</f>
        <v>202.43064027818482</v>
      </c>
      <c r="O27" s="71">
        <f t="shared" si="4"/>
        <v>5.8016859283594124E-2</v>
      </c>
      <c r="P27" s="56">
        <f>ABS(O27*'Assumed Values'!$C$7)</f>
        <v>110.52211693524681</v>
      </c>
      <c r="Q27" s="57">
        <f t="shared" si="1"/>
        <v>23.314296108205401</v>
      </c>
      <c r="T27" s="68">
        <f t="shared" si="5"/>
        <v>9.8864137088878506E-2</v>
      </c>
      <c r="U27" s="69">
        <f>T27*'Assumed Values'!$D$8</f>
        <v>0</v>
      </c>
    </row>
    <row r="28" spans="3:21">
      <c r="F28" s="54">
        <f t="shared" si="2"/>
        <v>2042</v>
      </c>
      <c r="G28" s="63">
        <f t="shared" si="6"/>
        <v>33095.614606024472</v>
      </c>
      <c r="H28" s="62">
        <f t="shared" si="8"/>
        <v>3.6594150636857226E-3</v>
      </c>
      <c r="I28" s="54">
        <f>IF(AND(F28&gt;='Inputs &amp; Outputs'!B$13,F28&lt;'Inputs &amp; Outputs'!B$13+'Inputs &amp; Outputs'!B$19),1,0)</f>
        <v>1</v>
      </c>
      <c r="J28" s="55">
        <f>I28*'Inputs &amp; Outputs'!B$16*'Benefit Calculations'!G28*('Benefit Calculations'!C$4-'Benefit Calculations'!C$5)</f>
        <v>381.63816154384546</v>
      </c>
      <c r="K28" s="71">
        <f t="shared" si="3"/>
        <v>0.1093779453797684</v>
      </c>
      <c r="L28" s="56">
        <f>K28*'Assumed Values'!$C$8</f>
        <v>821.20961391130118</v>
      </c>
      <c r="M28" s="57">
        <f t="shared" si="0"/>
        <v>161.8986996520691</v>
      </c>
      <c r="N28" s="55">
        <f>I28*'Inputs &amp; Outputs'!B$16*'Benefit Calculations'!G28*('Benefit Calculations'!D$4-'Benefit Calculations'!D$5)</f>
        <v>203.17141801257034</v>
      </c>
      <c r="O28" s="71">
        <f t="shared" si="4"/>
        <v>5.8229167052404239E-2</v>
      </c>
      <c r="P28" s="56">
        <f>ABS(O28*'Assumed Values'!$C$7)</f>
        <v>110.92656323483007</v>
      </c>
      <c r="Q28" s="57">
        <f t="shared" si="1"/>
        <v>21.86879700428317</v>
      </c>
      <c r="T28" s="68">
        <f t="shared" si="5"/>
        <v>9.9225922001399819E-2</v>
      </c>
      <c r="U28" s="69">
        <f>T28*'Assumed Values'!$D$8</f>
        <v>0</v>
      </c>
    </row>
    <row r="29" spans="3:21">
      <c r="F29" s="54">
        <f t="shared" si="2"/>
        <v>2043</v>
      </c>
      <c r="G29" s="63">
        <f t="shared" si="6"/>
        <v>33216.725196655694</v>
      </c>
      <c r="H29" s="62">
        <f t="shared" si="8"/>
        <v>3.6594150636857226E-3</v>
      </c>
      <c r="I29" s="54">
        <f>IF(AND(F29&gt;='Inputs &amp; Outputs'!B$13,F29&lt;'Inputs &amp; Outputs'!B$13+'Inputs &amp; Outputs'!B$19),1,0)</f>
        <v>1</v>
      </c>
      <c r="J29" s="55">
        <f>I29*'Inputs &amp; Outputs'!B$16*'Benefit Calculations'!G29*('Benefit Calculations'!C$4-'Benefit Calculations'!C$5)</f>
        <v>383.03473398107633</v>
      </c>
      <c r="K29" s="71">
        <f t="shared" si="3"/>
        <v>0.10977820468072612</v>
      </c>
      <c r="L29" s="56">
        <f>K29*'Assumed Values'!$C$8</f>
        <v>824.21476074289171</v>
      </c>
      <c r="M29" s="57">
        <f t="shared" si="0"/>
        <v>151.86089176856728</v>
      </c>
      <c r="N29" s="55">
        <f>I29*'Inputs &amp; Outputs'!B$16*'Benefit Calculations'!G29*('Benefit Calculations'!D$4-'Benefit Calculations'!D$5)</f>
        <v>203.91490656015591</v>
      </c>
      <c r="O29" s="71">
        <f t="shared" si="4"/>
        <v>5.8442251743461682E-2</v>
      </c>
      <c r="P29" s="56">
        <f>ABS(O29*'Assumed Values'!$C$7)</f>
        <v>111.3324895712945</v>
      </c>
      <c r="Q29" s="57">
        <f t="shared" si="1"/>
        <v>20.512919635014327</v>
      </c>
      <c r="T29" s="68">
        <f t="shared" si="5"/>
        <v>9.9589030835079848E-2</v>
      </c>
      <c r="U29" s="69">
        <f>T29*'Assumed Values'!$D$8</f>
        <v>0</v>
      </c>
    </row>
    <row r="30" spans="3:21">
      <c r="F30" s="54">
        <f t="shared" si="2"/>
        <v>2044</v>
      </c>
      <c r="G30" s="63">
        <f t="shared" si="6"/>
        <v>33338.278981206648</v>
      </c>
      <c r="H30" s="62">
        <f t="shared" si="8"/>
        <v>3.6594150636857226E-3</v>
      </c>
      <c r="I30" s="54">
        <f>IF(AND(F30&gt;='Inputs &amp; Outputs'!B$13,F30&lt;'Inputs &amp; Outputs'!B$13+'Inputs &amp; Outputs'!B$19),1,0)</f>
        <v>1</v>
      </c>
      <c r="J30" s="55">
        <f>I30*'Inputs &amp; Outputs'!B$16*'Benefit Calculations'!G30*('Benefit Calculations'!C$4-'Benefit Calculations'!C$5)</f>
        <v>384.43641705652158</v>
      </c>
      <c r="K30" s="71">
        <f t="shared" si="3"/>
        <v>0.11017992869659915</v>
      </c>
      <c r="L30" s="56">
        <f>K30*'Assumed Values'!$C$8</f>
        <v>827.23090465406642</v>
      </c>
      <c r="M30" s="57">
        <f t="shared" si="0"/>
        <v>142.44543346120554</v>
      </c>
      <c r="N30" s="55">
        <f>I30*'Inputs &amp; Outputs'!B$16*'Benefit Calculations'!G30*('Benefit Calculations'!D$4-'Benefit Calculations'!D$5)</f>
        <v>204.66111584093224</v>
      </c>
      <c r="O30" s="71">
        <f t="shared" si="4"/>
        <v>5.8656116199847418E-2</v>
      </c>
      <c r="P30" s="56">
        <f>ABS(O30*'Assumed Values'!$C$7)</f>
        <v>111.73990136070933</v>
      </c>
      <c r="Q30" s="57">
        <f t="shared" si="1"/>
        <v>19.241107403856891</v>
      </c>
      <c r="T30" s="68">
        <f t="shared" si="5"/>
        <v>9.9953468434695603E-2</v>
      </c>
      <c r="U30" s="69">
        <f>T30*'Assumed Values'!$D$8</f>
        <v>0</v>
      </c>
    </row>
    <row r="31" spans="3:21">
      <c r="F31" s="54">
        <f t="shared" si="2"/>
        <v>2045</v>
      </c>
      <c r="G31" s="63">
        <f>'Inputs &amp; Outputs'!$B$24</f>
        <v>34077</v>
      </c>
      <c r="H31" s="62">
        <f t="shared" si="8"/>
        <v>3.6594150636857226E-3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34201.701887125215</v>
      </c>
      <c r="H32" s="62">
        <f t="shared" si="8"/>
        <v>3.6594150636857226E-3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34326.860110214649</v>
      </c>
      <c r="H33" s="62">
        <f t="shared" si="8"/>
        <v>3.6594150636857226E-3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34452.476339191002</v>
      </c>
      <c r="H34" s="62">
        <f t="shared" si="8"/>
        <v>3.6594150636857226E-3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34578.552250087916</v>
      </c>
      <c r="H35" s="62">
        <f t="shared" si="8"/>
        <v>3.6594150636857226E-3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34705.089525072333</v>
      </c>
      <c r="H36" s="62">
        <f t="shared" si="8"/>
        <v>3.6594150636857226E-3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7428.1454476140498</v>
      </c>
      <c r="K37" s="55">
        <f t="shared" ref="K37:Q37" si="9">SUM(K4:K36)</f>
        <v>2.1289152105632958</v>
      </c>
      <c r="L37" s="58">
        <f t="shared" si="9"/>
        <v>15983.895400909225</v>
      </c>
      <c r="M37" s="59">
        <f t="shared" si="9"/>
        <v>5596.7824929642293</v>
      </c>
      <c r="N37" s="55">
        <f t="shared" si="9"/>
        <v>3954.4966826436689</v>
      </c>
      <c r="O37" s="55">
        <f t="shared" si="9"/>
        <v>1.1333633942919561</v>
      </c>
      <c r="P37" s="55">
        <f t="shared" si="9"/>
        <v>2159.0572661261763</v>
      </c>
      <c r="Q37" s="59">
        <f t="shared" si="9"/>
        <v>755.99680836717857</v>
      </c>
      <c r="T37" s="68">
        <f>SUM(T4:T36)</f>
        <v>1.9313178163796527</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55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55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55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55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EC2B45-8B98-4E44-9B97-C04EECBD6E82}"/>
</file>

<file path=customXml/itemProps2.xml><?xml version="1.0" encoding="utf-8"?>
<ds:datastoreItem xmlns:ds="http://schemas.openxmlformats.org/officeDocument/2006/customXml" ds:itemID="{5284EA21-7730-49FE-A00F-7428C06EE396}"/>
</file>

<file path=customXml/itemProps3.xml><?xml version="1.0" encoding="utf-8"?>
<ds:datastoreItem xmlns:ds="http://schemas.openxmlformats.org/officeDocument/2006/customXml" ds:itemID="{079B20E5-DB88-4446-9AFA-900CAF3D8A5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2018-10-31T00:29:47Z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