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6_AM_FM2920/"/>
    </mc:Choice>
  </mc:AlternateContent>
  <xr:revisionPtr revIDLastSave="31" documentId="8_{DA2119F3-CE77-4CA5-B8E7-480DE43B3F01}" xr6:coauthVersionLast="40" xr6:coauthVersionMax="40" xr10:uidLastSave="{6ECDDB82-2E1E-4095-A7A2-6051AD3FA53D}"/>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<sst xmlns="http://schemas.openxmlformats.org/spreadsheetml/2006/main" count="263" uniqueCount="131">
  <si>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</si>
  <si>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</si>
  <si>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</si>
  <si>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</si>
  <si>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</si>
  <si>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</si>
  <si>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</si>
  <si>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</si>
  <si>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</si>
  <si>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</si>
  <si>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</si>
  <si>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</si>
  <si>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</si>
  <si>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</si>
  <si>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</si>
  <si>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</si>
  <si>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</si>
  <si>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</si>
  <si>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</si>
  <si>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</si>
  <si>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</si>
  <si>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</si>
  <si>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</si>
  <si>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</si>
  <si>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</si>
  <si>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</si>
  <si>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</si>
  <si>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</si>
  <si>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</si>
  <si>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</si>
  <si>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</si>
  <si>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</si>
  <si>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</si>
  <si>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</si>
  <si>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</si>
  <si>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</si>
  <si>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</si>
  <si>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</si>
  <si>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</si>
  <si>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</si>
  <si>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</si>
  <si>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</si>
  <si>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</si>
  <si>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</si>
  <si>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</si>
  <si>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</si>
  <si>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</si>
  <si>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2920 Access Management</t>
  </si>
  <si>
    <t>Data entered by the sponsors</t>
  </si>
  <si>
    <t>Application ID Number:</t>
  </si>
  <si>
    <t>Data populated/calculated based on inputs</t>
  </si>
  <si>
    <t>Sponsor ID Number (CSJ, etc.):</t>
  </si>
  <si>
    <t>N/A</t>
  </si>
  <si>
    <t xml:space="preserve">HGAC regional travel demand model data provided by HGAC </t>
  </si>
  <si>
    <t>Project County</t>
  </si>
  <si>
    <t>Harris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</si>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</sst>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19" sqref="B1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v>224</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2024</v>
      </c>
    </row>
    <row r="14" spans="1:5">
      <c r="A14" s="5" t="s">
        <v>59</v>
      </c>
      <c r="B14" s="5" t="s">
        <v>60</v>
      </c>
    </row>
    <row r="15" spans="1:5">
      <c r="A15" s="85" t="s">
        <v>61</v>
      </c>
      <c r="B15" s="8" t="s">
        <v>62</v>
      </c>
    </row>
    <row r="16" spans="1:5">
      <c r="A16" s="85" t="s">
        <v>63</v>
      </c>
      <c r="B16" s="8">
        <v>6.37</v>
      </c>
    </row>
    <row r="17" spans="1:2">
      <c r="A17" s="86" t="s">
        <v>64</v>
      </c>
      <c r="B17" s="8">
        <v>21</v>
      </c>
    </row>
    <row r="18" spans="1:2">
      <c r="A18" s="86" t="s">
        <v>65</v>
      </c>
      <c r="B18" s="8">
        <v>30</v>
      </c>
    </row>
    <row r="19" spans="1:2">
      <c r="A19" s="76" t="s">
        <v>66</v>
      </c>
      <c r="B19" s="77">
        <f>VLOOKUP(B14,'Service Life'!C6:D8,2,FALSE)</f>
        <v>20</v>
      </c>
    </row>
    <row r="21" spans="1:2">
      <c r="A21" s="81" t="s">
        <v>67</v>
      </c>
    </row>
    <row r="22" spans="1:2" ht="20.25" customHeight="1">
      <c r="A22" s="86" t="s">
        <v>68</v>
      </c>
      <c r="B22" s="95">
        <v>27570</v>
      </c>
    </row>
    <row r="23" spans="1:2" ht="30">
      <c r="A23" s="94" t="s">
        <v>69</v>
      </c>
      <c r="B23" s="96">
        <v>30836</v>
      </c>
    </row>
    <row r="24" spans="1:2" ht="30">
      <c r="A24" s="94" t="s">
        <v>70</v>
      </c>
      <c r="B24" s="96">
        <v>42350</v>
      </c>
    </row>
    <row r="27" spans="1:2" ht="18.75">
      <c r="A27" s="79" t="s">
        <v>71</v>
      </c>
      <c r="B27" s="80"/>
    </row>
    <row r="29" spans="1:2">
      <c r="A29" s="87" t="s">
        <v>72</v>
      </c>
    </row>
    <row r="30" spans="1:2">
      <c r="A30" s="84" t="s">
        <v>73</v>
      </c>
      <c r="B30" s="35">
        <f>'Benefit Calculations'!M37</f>
        <v>33538.199419716373</v>
      </c>
    </row>
    <row r="31" spans="1:2">
      <c r="A31" s="84" t="s">
        <v>74</v>
      </c>
      <c r="B31" s="35">
        <f>'Benefit Calculations'!Q37</f>
        <v>3005.6881141654985</v>
      </c>
    </row>
    <row r="32" spans="1:2">
      <c r="B32" s="88"/>
    </row>
    <row r="33" spans="1:9">
      <c r="A33" s="87" t="s">
        <v>75</v>
      </c>
      <c r="B33" s="88"/>
    </row>
    <row r="34" spans="1:9">
      <c r="A34" s="84" t="s">
        <v>76</v>
      </c>
      <c r="B34" s="35">
        <f>$B$30+$B$31</f>
        <v>36543.887533881869</v>
      </c>
    </row>
    <row r="35" spans="1:9">
      <c r="I35" s="89"/>
    </row>
    <row r="36" spans="1:9">
      <c r="A36" s="87" t="s">
        <v>77</v>
      </c>
    </row>
    <row r="37" spans="1:9">
      <c r="A37" s="84" t="s">
        <v>78</v>
      </c>
      <c r="B37" s="91">
        <f>'Benefit Calculations'!K37</f>
        <v>12.16407587379546</v>
      </c>
    </row>
    <row r="38" spans="1:9">
      <c r="A38" s="84" t="s">
        <v>79</v>
      </c>
      <c r="B38" s="91">
        <f>'Benefit Calculations'!O37</f>
        <v>4.2964778338199014</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7.1687102317799997E-2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1.7545400187400001E-2</v>
      </c>
      <c r="F4" s="54">
        <v>2018</v>
      </c>
      <c r="G4" s="63">
        <f>'Inputs &amp; Outputs'!B22</f>
        <v>27570</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6.20126985013E-2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1.41283003612999E-2</v>
      </c>
      <c r="F5" s="54">
        <f t="shared" ref="F5:F36" si="2">F4+1</f>
        <v>2019</v>
      </c>
      <c r="G5" s="63">
        <f>G4+G4*H5</f>
        <v>28014.486216377023</v>
      </c>
      <c r="H5" s="62">
        <f>$C$9</f>
        <v>1.6122097075699005E-2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28466.138482683284</v>
      </c>
      <c r="H6" s="62">
        <f t="shared" ref="H6:H11" si="7">$C$9</f>
        <v>1.6122097075699005E-2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28925.072330671395</v>
      </c>
      <c r="H7" s="62">
        <f t="shared" si="7"/>
        <v>1.6122097075699005E-2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29391.405154708096</v>
      </c>
      <c r="H8" s="62">
        <f t="shared" si="7"/>
        <v>1.6122097075699005E-2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1.6122097075699005E-2</v>
      </c>
      <c r="F9" s="54">
        <f t="shared" si="2"/>
        <v>2023</v>
      </c>
      <c r="G9" s="63">
        <f t="shared" si="6"/>
        <v>29865.256241803501</v>
      </c>
      <c r="H9" s="62">
        <f t="shared" si="7"/>
        <v>1.6122097075699005E-2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1.2772301202458758E-2</v>
      </c>
      <c r="F10" s="54">
        <f t="shared" si="2"/>
        <v>2024</v>
      </c>
      <c r="G10" s="63">
        <f t="shared" si="6"/>
        <v>30346.746802124482</v>
      </c>
      <c r="H10" s="62">
        <f t="shared" si="7"/>
        <v>1.6122097075699005E-2</v>
      </c>
      <c r="I10" s="54">
        <f>IF(AND(F10&gt;='Inputs &amp; Outputs'!B$13,F10&lt;'Inputs &amp; Outputs'!B$13+'Inputs &amp; Outputs'!B$19),1,0)</f>
        <v>1</v>
      </c>
      <c r="J10" s="55">
        <f>I10*'Inputs &amp; Outputs'!B$16*'Benefit Calculations'!G10*('Benefit Calculations'!C$4-'Benefit Calculations'!C$5)</f>
        <v>1870.1471712249011</v>
      </c>
      <c r="K10" s="71">
        <f t="shared" si="3"/>
        <v>0.53598637599260379</v>
      </c>
      <c r="L10" s="56">
        <f>K10*'Assumed Values'!$C$8</f>
        <v>4024.1857109524694</v>
      </c>
      <c r="M10" s="57">
        <f t="shared" si="0"/>
        <v>2681.4848556867018</v>
      </c>
      <c r="N10" s="55">
        <f>I10*'Inputs &amp; Outputs'!B$16*'Benefit Calculations'!G10*('Benefit Calculations'!D$4-'Benefit Calculations'!D$5)</f>
        <v>660.55538871295028</v>
      </c>
      <c r="O10" s="71">
        <f t="shared" si="4"/>
        <v>0.18931595030927251</v>
      </c>
      <c r="P10" s="56">
        <f>ABS(O10*'Assumed Values'!$C$7)</f>
        <v>360.6468853391641</v>
      </c>
      <c r="Q10" s="57">
        <f t="shared" si="1"/>
        <v>240.31424758939741</v>
      </c>
      <c r="T10" s="68">
        <f t="shared" si="5"/>
        <v>0.48623826451847429</v>
      </c>
      <c r="U10" s="69">
        <f>T10*'Assumed Values'!$D$8</f>
        <v>0</v>
      </c>
    </row>
    <row r="11" spans="2:21">
      <c r="B11" s="15" t="s">
        <v>100</v>
      </c>
      <c r="C11" s="53">
        <f>('Inputs &amp; Outputs'!B24/'Inputs &amp; Outputs'!B22)^(1/(2045-2018))-1</f>
        <v>1.6024827160521005E-2</v>
      </c>
      <c r="F11" s="54">
        <f t="shared" si="2"/>
        <v>2025</v>
      </c>
      <c r="G11" s="63">
        <f>'Inputs &amp; Outputs'!$B$23</f>
        <v>30836</v>
      </c>
      <c r="H11" s="62">
        <f t="shared" si="7"/>
        <v>1.6122097075699005E-2</v>
      </c>
      <c r="I11" s="54">
        <f>IF(AND(F11&gt;='Inputs &amp; Outputs'!B$13,F11&lt;'Inputs &amp; Outputs'!B$13+'Inputs &amp; Outputs'!B$19),1,0)</f>
        <v>1</v>
      </c>
      <c r="J11" s="55">
        <f>I11*'Inputs &amp; Outputs'!B$16*'Benefit Calculations'!G11*('Benefit Calculations'!C$4-'Benefit Calculations'!C$5)</f>
        <v>1900.2978654652334</v>
      </c>
      <c r="K11" s="71">
        <f t="shared" si="3"/>
        <v>0.54462760037760882</v>
      </c>
      <c r="L11" s="56">
        <f>K11*'Assumed Values'!$C$8</f>
        <v>4089.0640236350869</v>
      </c>
      <c r="M11" s="57">
        <f t="shared" si="0"/>
        <v>2546.4635652683178</v>
      </c>
      <c r="N11" s="55">
        <f>I11*'Inputs &amp; Outputs'!B$16*'Benefit Calculations'!G11*('Benefit Calculations'!D$4-'Benefit Calculations'!D$5)</f>
        <v>671.20492681365681</v>
      </c>
      <c r="O11" s="71">
        <f t="shared" si="4"/>
        <v>0.19236812043813689</v>
      </c>
      <c r="P11" s="56">
        <f>ABS(O11*'Assumed Values'!$C$7)</f>
        <v>366.46126943465077</v>
      </c>
      <c r="Q11" s="57">
        <f t="shared" si="1"/>
        <v>228.21366095112836</v>
      </c>
      <c r="T11" s="68">
        <f t="shared" si="5"/>
        <v>0.49407744502096068</v>
      </c>
      <c r="U11" s="69">
        <f>T11*'Assumed Values'!$D$8</f>
        <v>0</v>
      </c>
    </row>
    <row r="12" spans="2:21">
      <c r="C12" s="38"/>
      <c r="F12" s="54">
        <f t="shared" si="2"/>
        <v>2026</v>
      </c>
      <c r="G12" s="63">
        <f t="shared" si="6"/>
        <v>31229.846679879018</v>
      </c>
      <c r="H12" s="62">
        <f>$C$10</f>
        <v>1.2772301202458758E-2</v>
      </c>
      <c r="I12" s="54">
        <f>IF(AND(F12&gt;='Inputs &amp; Outputs'!B$13,F12&lt;'Inputs &amp; Outputs'!B$13+'Inputs &amp; Outputs'!B$19),1,0)</f>
        <v>1</v>
      </c>
      <c r="J12" s="55">
        <f>I12*'Inputs &amp; Outputs'!B$16*'Benefit Calculations'!G12*('Benefit Calculations'!C$4-'Benefit Calculations'!C$5)</f>
        <v>1924.5690421773447</v>
      </c>
      <c r="K12" s="71">
        <f t="shared" si="3"/>
        <v>0.55158374813280397</v>
      </c>
      <c r="L12" s="56">
        <f>K12*'Assumed Values'!$C$8</f>
        <v>4141.2907809810922</v>
      </c>
      <c r="M12" s="57">
        <f t="shared" si="0"/>
        <v>2410.2689391822541</v>
      </c>
      <c r="N12" s="55">
        <f>I12*'Inputs &amp; Outputs'!B$16*'Benefit Calculations'!G12*('Benefit Calculations'!D$4-'Benefit Calculations'!D$5)</f>
        <v>679.77775830749511</v>
      </c>
      <c r="O12" s="71">
        <f t="shared" si="4"/>
        <v>0.19482510401412362</v>
      </c>
      <c r="P12" s="56">
        <f>ABS(O12*'Assumed Values'!$C$7)</f>
        <v>371.14182314690549</v>
      </c>
      <c r="Q12" s="57">
        <f t="shared" si="1"/>
        <v>216.00792015636631</v>
      </c>
      <c r="T12" s="68">
        <f t="shared" si="5"/>
        <v>0.50038795096610966</v>
      </c>
      <c r="U12" s="69">
        <f>T12*'Assumed Values'!$D$8</f>
        <v>0</v>
      </c>
    </row>
    <row r="13" spans="2:21">
      <c r="C13" s="38"/>
      <c r="F13" s="54">
        <f t="shared" si="2"/>
        <v>2027</v>
      </c>
      <c r="G13" s="63">
        <f t="shared" si="6"/>
        <v>31628.723688181039</v>
      </c>
      <c r="H13" s="62">
        <f t="shared" ref="H13:H36" si="8">$C$10</f>
        <v>1.2772301202458758E-2</v>
      </c>
      <c r="I13" s="54">
        <f>IF(AND(F13&gt;='Inputs &amp; Outputs'!B$13,F13&lt;'Inputs &amp; Outputs'!B$13+'Inputs &amp; Outputs'!B$19),1,0)</f>
        <v>1</v>
      </c>
      <c r="J13" s="55">
        <f>I13*'Inputs &amp; Outputs'!B$16*'Benefit Calculations'!G13*('Benefit Calculations'!C$4-'Benefit Calculations'!C$5)</f>
        <v>1949.1502176689612</v>
      </c>
      <c r="K13" s="71">
        <f t="shared" si="3"/>
        <v>0.55862874190233724</v>
      </c>
      <c r="L13" s="56">
        <f>K13*'Assumed Values'!$C$8</f>
        <v>4194.1845942027485</v>
      </c>
      <c r="M13" s="57">
        <f t="shared" si="0"/>
        <v>2281.3585234134771</v>
      </c>
      <c r="N13" s="55">
        <f>I13*'Inputs &amp; Outputs'!B$16*'Benefit Calculations'!G13*('Benefit Calculations'!D$4-'Benefit Calculations'!D$5)</f>
        <v>688.46008458733058</v>
      </c>
      <c r="O13" s="71">
        <f t="shared" si="4"/>
        <v>0.19731346892439233</v>
      </c>
      <c r="P13" s="56">
        <f>ABS(O13*'Assumed Values'!$C$7)</f>
        <v>375.88215830096738</v>
      </c>
      <c r="Q13" s="57">
        <f t="shared" si="1"/>
        <v>204.45498913525236</v>
      </c>
      <c r="T13" s="68">
        <f t="shared" si="5"/>
        <v>0.50677905659392997</v>
      </c>
      <c r="U13" s="69">
        <f>T13*'Assumed Values'!$D$8</f>
        <v>0</v>
      </c>
    </row>
    <row r="14" spans="2:21">
      <c r="C14" s="38"/>
      <c r="F14" s="54">
        <f t="shared" si="2"/>
        <v>2028</v>
      </c>
      <c r="G14" s="63">
        <f t="shared" si="6"/>
        <v>32032.695273775829</v>
      </c>
      <c r="H14" s="62">
        <f t="shared" si="8"/>
        <v>1.2772301202458758E-2</v>
      </c>
      <c r="I14" s="54">
        <f>IF(AND(F14&gt;='Inputs &amp; Outputs'!B$13,F14&lt;'Inputs &amp; Outputs'!B$13+'Inputs &amp; Outputs'!B$19),1,0)</f>
        <v>1</v>
      </c>
      <c r="J14" s="55">
        <f>I14*'Inputs &amp; Outputs'!B$16*'Benefit Calculations'!G14*('Benefit Calculations'!C$4-'Benefit Calculations'!C$5)</f>
        <v>1974.0453513378675</v>
      </c>
      <c r="K14" s="71">
        <f t="shared" si="3"/>
        <v>0.5657637164542646</v>
      </c>
      <c r="L14" s="56">
        <f>K14*'Assumed Values'!$C$8</f>
        <v>4247.7539831386184</v>
      </c>
      <c r="M14" s="57">
        <f t="shared" si="0"/>
        <v>2159.3427304909446</v>
      </c>
      <c r="N14" s="55">
        <f>I14*'Inputs &amp; Outputs'!B$16*'Benefit Calculations'!G14*('Benefit Calculations'!D$4-'Benefit Calculations'!D$5)</f>
        <v>697.25330415355029</v>
      </c>
      <c r="O14" s="71">
        <f t="shared" si="4"/>
        <v>0.19983361598079671</v>
      </c>
      <c r="P14" s="56">
        <f>ABS(O14*'Assumed Values'!$C$7)</f>
        <v>380.68303844341773</v>
      </c>
      <c r="Q14" s="57">
        <f t="shared" si="1"/>
        <v>193.51995312040498</v>
      </c>
      <c r="T14" s="68">
        <f t="shared" si="5"/>
        <v>0.5132517913478456</v>
      </c>
      <c r="U14" s="69">
        <f>T14*'Assumed Values'!$D$8</f>
        <v>0</v>
      </c>
    </row>
    <row r="15" spans="2:21">
      <c r="C15" s="1"/>
      <c r="F15" s="54">
        <f t="shared" si="2"/>
        <v>2029</v>
      </c>
      <c r="G15" s="63">
        <f t="shared" si="6"/>
        <v>32441.82650613907</v>
      </c>
      <c r="H15" s="62">
        <f t="shared" si="8"/>
        <v>1.2772301202458758E-2</v>
      </c>
      <c r="I15" s="54">
        <f>IF(AND(F15&gt;='Inputs &amp; Outputs'!B$13,F15&lt;'Inputs &amp; Outputs'!B$13+'Inputs &amp; Outputs'!B$19),1,0)</f>
        <v>1</v>
      </c>
      <c r="J15" s="55">
        <f>I15*'Inputs &amp; Outputs'!B$16*'Benefit Calculations'!G15*('Benefit Calculations'!C$4-'Benefit Calculations'!C$5)</f>
        <v>1999.2584531524681</v>
      </c>
      <c r="K15" s="71">
        <f t="shared" si="3"/>
        <v>0.57298982105024077</v>
      </c>
      <c r="L15" s="56">
        <f>K15*'Assumed Values'!$C$8</f>
        <v>4302.0075764452076</v>
      </c>
      <c r="M15" s="57">
        <f t="shared" si="0"/>
        <v>2043.8528095739382</v>
      </c>
      <c r="N15" s="55">
        <f>I15*'Inputs &amp; Outputs'!B$16*'Benefit Calculations'!G15*('Benefit Calculations'!D$4-'Benefit Calculations'!D$5)</f>
        <v>706.15883336860895</v>
      </c>
      <c r="O15" s="71">
        <f t="shared" si="4"/>
        <v>0.20238595111447988</v>
      </c>
      <c r="P15" s="56">
        <f>ABS(O15*'Assumed Values'!$C$7)</f>
        <v>385.54523687308415</v>
      </c>
      <c r="Q15" s="57">
        <f t="shared" si="1"/>
        <v>183.16976471994803</v>
      </c>
      <c r="T15" s="68">
        <f t="shared" si="5"/>
        <v>0.51980719781964169</v>
      </c>
      <c r="U15" s="69">
        <f>T15*'Assumed Values'!$D$8</f>
        <v>0</v>
      </c>
    </row>
    <row r="16" spans="2:21">
      <c r="C16" s="1"/>
      <c r="F16" s="54">
        <f t="shared" si="2"/>
        <v>2030</v>
      </c>
      <c r="G16" s="63">
        <f t="shared" si="6"/>
        <v>32856.183285833387</v>
      </c>
      <c r="H16" s="62">
        <f t="shared" si="8"/>
        <v>1.2772301202458758E-2</v>
      </c>
      <c r="I16" s="54">
        <f>IF(AND(F16&gt;='Inputs &amp; Outputs'!B$13,F16&lt;'Inputs &amp; Outputs'!B$13+'Inputs &amp; Outputs'!B$19),1,0)</f>
        <v>1</v>
      </c>
      <c r="J16" s="55">
        <f>I16*'Inputs &amp; Outputs'!B$16*'Benefit Calculations'!G16*('Benefit Calculations'!C$4-'Benefit Calculations'!C$5)</f>
        <v>2024.7935842976931</v>
      </c>
      <c r="K16" s="71">
        <f t="shared" si="3"/>
        <v>0.5803082196306375</v>
      </c>
      <c r="L16" s="56">
        <f>K16*'Assumed Values'!$C$8</f>
        <v>4356.9541129868267</v>
      </c>
      <c r="M16" s="57">
        <f t="shared" si="0"/>
        <v>1934.5397320292609</v>
      </c>
      <c r="N16" s="55">
        <f>I16*'Inputs &amp; Outputs'!B$16*'Benefit Calculations'!G16*('Benefit Calculations'!D$4-'Benefit Calculations'!D$5)</f>
        <v>715.17810668516972</v>
      </c>
      <c r="O16" s="71">
        <f t="shared" si="4"/>
        <v>0.2049708854412601</v>
      </c>
      <c r="P16" s="56">
        <f>ABS(O16*'Assumed Values'!$C$7)</f>
        <v>390.46953676560048</v>
      </c>
      <c r="Q16" s="57">
        <f t="shared" si="1"/>
        <v>173.37314404311658</v>
      </c>
      <c r="T16" s="68">
        <f t="shared" si="5"/>
        <v>0.5264463319174002</v>
      </c>
      <c r="U16" s="69">
        <f>T16*'Assumed Values'!$D$8</f>
        <v>0</v>
      </c>
    </row>
    <row r="17" spans="3:21">
      <c r="C17" s="1"/>
      <c r="F17" s="54">
        <f t="shared" si="2"/>
        <v>2031</v>
      </c>
      <c r="G17" s="63">
        <f t="shared" si="6"/>
        <v>33275.832355123246</v>
      </c>
      <c r="H17" s="62">
        <f t="shared" si="8"/>
        <v>1.2772301202458758E-2</v>
      </c>
      <c r="I17" s="54">
        <f>IF(AND(F17&gt;='Inputs &amp; Outputs'!B$13,F17&lt;'Inputs &amp; Outputs'!B$13+'Inputs &amp; Outputs'!B$19),1,0)</f>
        <v>1</v>
      </c>
      <c r="J17" s="55">
        <f>I17*'Inputs &amp; Outputs'!B$16*'Benefit Calculations'!G17*('Benefit Calculations'!C$4-'Benefit Calculations'!C$5)</f>
        <v>2050.6548578291495</v>
      </c>
      <c r="K17" s="71">
        <f t="shared" si="3"/>
        <v>0.5877200910020226</v>
      </c>
      <c r="L17" s="56">
        <f>K17*'Assumed Values'!$C$8</f>
        <v>4412.6024432431859</v>
      </c>
      <c r="M17" s="57">
        <f t="shared" si="0"/>
        <v>1831.0731366120208</v>
      </c>
      <c r="N17" s="55">
        <f>I17*'Inputs &amp; Outputs'!B$16*'Benefit Calculations'!G17*('Benefit Calculations'!D$4-'Benefit Calculations'!D$5)</f>
        <v>724.31257687715697</v>
      </c>
      <c r="O17" s="71">
        <f t="shared" si="4"/>
        <v>0.20758883532785058</v>
      </c>
      <c r="P17" s="56">
        <f>ABS(O17*'Assumed Values'!$C$7)</f>
        <v>395.45673129955537</v>
      </c>
      <c r="Q17" s="57">
        <f t="shared" si="1"/>
        <v>164.10048416752576</v>
      </c>
      <c r="T17" s="68">
        <f t="shared" si="5"/>
        <v>0.53317026303557891</v>
      </c>
      <c r="U17" s="69">
        <f>T17*'Assumed Values'!$D$8</f>
        <v>0</v>
      </c>
    </row>
    <row r="18" spans="3:21">
      <c r="F18" s="54">
        <f t="shared" si="2"/>
        <v>2032</v>
      </c>
      <c r="G18" s="63">
        <f t="shared" si="6"/>
        <v>33700.841308725401</v>
      </c>
      <c r="H18" s="62">
        <f t="shared" si="8"/>
        <v>1.2772301202458758E-2</v>
      </c>
      <c r="I18" s="54">
        <f>IF(AND(F18&gt;='Inputs &amp; Outputs'!B$13,F18&lt;'Inputs &amp; Outputs'!B$13+'Inputs &amp; Outputs'!B$19),1,0)</f>
        <v>1</v>
      </c>
      <c r="J18" s="55">
        <f>I18*'Inputs &amp; Outputs'!B$16*'Benefit Calculations'!G18*('Benefit Calculations'!C$4-'Benefit Calculations'!C$5)</f>
        <v>2076.8464393356285</v>
      </c>
      <c r="K18" s="71">
        <f t="shared" si="3"/>
        <v>0.59522662902703682</v>
      </c>
      <c r="L18" s="56">
        <f>K18*'Assumed Values'!$C$8</f>
        <v>4468.9615307349923</v>
      </c>
      <c r="M18" s="57">
        <f t="shared" si="0"/>
        <v>1733.1403310622056</v>
      </c>
      <c r="N18" s="55">
        <f>I18*'Inputs &amp; Outputs'!B$16*'Benefit Calculations'!G18*('Benefit Calculations'!D$4-'Benefit Calculations'!D$5)</f>
        <v>733.56371527376098</v>
      </c>
      <c r="O18" s="71">
        <f t="shared" si="4"/>
        <v>0.21024022245892549</v>
      </c>
      <c r="P18" s="56">
        <f>ABS(O18*'Assumed Values'!$C$7)</f>
        <v>400.50762378425304</v>
      </c>
      <c r="Q18" s="57">
        <f t="shared" si="1"/>
        <v>155.32376166241374</v>
      </c>
      <c r="T18" s="68">
        <f t="shared" si="5"/>
        <v>0.53998007422726346</v>
      </c>
      <c r="U18" s="69">
        <f>T18*'Assumed Values'!$D$8</f>
        <v>0</v>
      </c>
    </row>
    <row r="19" spans="3:21">
      <c r="F19" s="54">
        <f t="shared" si="2"/>
        <v>2033</v>
      </c>
      <c r="G19" s="63">
        <f t="shared" si="6"/>
        <v>34131.278604696708</v>
      </c>
      <c r="H19" s="62">
        <f t="shared" si="8"/>
        <v>1.2772301202458758E-2</v>
      </c>
      <c r="I19" s="54">
        <f>IF(AND(F19&gt;='Inputs &amp; Outputs'!B$13,F19&lt;'Inputs &amp; Outputs'!B$13+'Inputs &amp; Outputs'!B$19),1,0)</f>
        <v>1</v>
      </c>
      <c r="J19" s="55">
        <f>I19*'Inputs &amp; Outputs'!B$16*'Benefit Calculations'!G19*('Benefit Calculations'!C$4-'Benefit Calculations'!C$5)</f>
        <v>2103.3725476100772</v>
      </c>
      <c r="K19" s="71">
        <f t="shared" si="3"/>
        <v>0.60282904281669436</v>
      </c>
      <c r="L19" s="56">
        <f>K19*'Assumed Values'!$C$8</f>
        <v>4526.0404534677409</v>
      </c>
      <c r="M19" s="57">
        <f t="shared" si="0"/>
        <v>1640.4453470996832</v>
      </c>
      <c r="N19" s="55">
        <f>I19*'Inputs &amp; Outputs'!B$16*'Benefit Calculations'!G19*('Benefit Calculations'!D$4-'Benefit Calculations'!D$5)</f>
        <v>742.93301199643213</v>
      </c>
      <c r="O19" s="71">
        <f t="shared" si="4"/>
        <v>0.21292547390504279</v>
      </c>
      <c r="P19" s="56">
        <f>ABS(O19*'Assumed Values'!$C$7)</f>
        <v>405.62302778910652</v>
      </c>
      <c r="Q19" s="57">
        <f t="shared" si="1"/>
        <v>147.01645189744391</v>
      </c>
      <c r="T19" s="68">
        <f t="shared" si="5"/>
        <v>0.5468768623786201</v>
      </c>
      <c r="U19" s="69">
        <f>T19*'Assumed Values'!$D$8</f>
        <v>0</v>
      </c>
    </row>
    <row r="20" spans="3:21">
      <c r="F20" s="54">
        <f t="shared" si="2"/>
        <v>2034</v>
      </c>
      <c r="G20" s="63">
        <f t="shared" si="6"/>
        <v>34567.213575460933</v>
      </c>
      <c r="H20" s="62">
        <f t="shared" si="8"/>
        <v>1.2772301202458758E-2</v>
      </c>
      <c r="I20" s="54">
        <f>IF(AND(F20&gt;='Inputs &amp; Outputs'!B$13,F20&lt;'Inputs &amp; Outputs'!B$13+'Inputs &amp; Outputs'!B$19),1,0)</f>
        <v>1</v>
      </c>
      <c r="J20" s="55">
        <f>I20*'Inputs &amp; Outputs'!B$16*'Benefit Calculations'!G20*('Benefit Calculations'!C$4-'Benefit Calculations'!C$5)</f>
        <v>2130.2374553291365</v>
      </c>
      <c r="K20" s="71">
        <f t="shared" si="3"/>
        <v>0.6105285569251393</v>
      </c>
      <c r="L20" s="56">
        <f>K20*'Assumed Values'!$C$8</f>
        <v>4583.8484053939455</v>
      </c>
      <c r="M20" s="57">
        <f t="shared" si="0"/>
        <v>1552.7080459616946</v>
      </c>
      <c r="N20" s="55">
        <f>I20*'Inputs &amp; Outputs'!B$16*'Benefit Calculations'!G20*('Benefit Calculations'!D$4-'Benefit Calculations'!D$5)</f>
        <v>752.42197619890055</v>
      </c>
      <c r="O20" s="71">
        <f t="shared" si="4"/>
        <v>0.2156450221914343</v>
      </c>
      <c r="P20" s="56">
        <f>ABS(O20*'Assumed Values'!$C$7)</f>
        <v>410.80376727468234</v>
      </c>
      <c r="Q20" s="57">
        <f t="shared" si="1"/>
        <v>139.15344888111673</v>
      </c>
      <c r="T20" s="68">
        <f t="shared" si="5"/>
        <v>0.55386173838557551</v>
      </c>
      <c r="U20" s="69">
        <f>T20*'Assumed Values'!$D$8</f>
        <v>0</v>
      </c>
    </row>
    <row r="21" spans="3:21">
      <c r="F21" s="54">
        <f t="shared" si="2"/>
        <v>2035</v>
      </c>
      <c r="G21" s="63">
        <f t="shared" si="6"/>
        <v>35008.716438976444</v>
      </c>
      <c r="H21" s="62">
        <f t="shared" si="8"/>
        <v>1.2772301202458758E-2</v>
      </c>
      <c r="I21" s="54">
        <f>IF(AND(F21&gt;='Inputs &amp; Outputs'!B$13,F21&lt;'Inputs &amp; Outputs'!B$13+'Inputs &amp; Outputs'!B$19),1,0)</f>
        <v>1</v>
      </c>
      <c r="J21" s="55">
        <f>I21*'Inputs &amp; Outputs'!B$16*'Benefit Calculations'!G21*('Benefit Calculations'!C$4-'Benefit Calculations'!C$5)</f>
        <v>2157.4454897413593</v>
      </c>
      <c r="K21" s="71">
        <f t="shared" si="3"/>
        <v>0.6183264115468895</v>
      </c>
      <c r="L21" s="56">
        <f>K21*'Assumed Values'!$C$8</f>
        <v>4642.3946978940467</v>
      </c>
      <c r="M21" s="57">
        <f t="shared" si="0"/>
        <v>1469.6632717796247</v>
      </c>
      <c r="N21" s="55">
        <f>I21*'Inputs &amp; Outputs'!B$16*'Benefit Calculations'!G21*('Benefit Calculations'!D$4-'Benefit Calculations'!D$5)</f>
        <v>762.03213631026222</v>
      </c>
      <c r="O21" s="71">
        <f t="shared" si="4"/>
        <v>0.21839930536767421</v>
      </c>
      <c r="P21" s="56">
        <f>ABS(O21*'Assumed Values'!$C$7)</f>
        <v>416.05067672541935</v>
      </c>
      <c r="Q21" s="57">
        <f t="shared" si="1"/>
        <v>131.71098938653017</v>
      </c>
      <c r="T21" s="68">
        <f t="shared" si="5"/>
        <v>0.56093582733275349</v>
      </c>
      <c r="U21" s="69">
        <f>T21*'Assumed Values'!$D$8</f>
        <v>0</v>
      </c>
    </row>
    <row r="22" spans="3:21">
      <c r="F22" s="54">
        <f t="shared" si="2"/>
        <v>2036</v>
      </c>
      <c r="G22" s="63">
        <f t="shared" si="6"/>
        <v>35455.858310046518</v>
      </c>
      <c r="H22" s="62">
        <f t="shared" si="8"/>
        <v>1.2772301202458758E-2</v>
      </c>
      <c r="I22" s="54">
        <f>IF(AND(F22&gt;='Inputs &amp; Outputs'!B$13,F22&lt;'Inputs &amp; Outputs'!B$13+'Inputs &amp; Outputs'!B$19),1,0)</f>
        <v>1</v>
      </c>
      <c r="J22" s="55">
        <f>I22*'Inputs &amp; Outputs'!B$16*'Benefit Calculations'!G22*('Benefit Calculations'!C$4-'Benefit Calculations'!C$5)</f>
        <v>2185.0010333642222</v>
      </c>
      <c r="K22" s="71">
        <f t="shared" si="3"/>
        <v>0.6262238627166018</v>
      </c>
      <c r="L22" s="56">
        <f>K22*'Assumed Values'!$C$8</f>
        <v>4701.6887612762466</v>
      </c>
      <c r="M22" s="57">
        <f t="shared" si="0"/>
        <v>1391.0600502364346</v>
      </c>
      <c r="N22" s="55">
        <f>I22*'Inputs &amp; Outputs'!B$16*'Benefit Calculations'!G22*('Benefit Calculations'!D$4-'Benefit Calculations'!D$5)</f>
        <v>771.76504028117006</v>
      </c>
      <c r="O22" s="71">
        <f t="shared" si="4"/>
        <v>0.22118876707823792</v>
      </c>
      <c r="P22" s="56">
        <f>ABS(O22*'Assumed Values'!$C$7)</f>
        <v>421.36460128404326</v>
      </c>
      <c r="Q22" s="57">
        <f t="shared" si="1"/>
        <v>124.66658113518579</v>
      </c>
      <c r="T22" s="68">
        <f t="shared" si="5"/>
        <v>0.56810026867469776</v>
      </c>
      <c r="U22" s="69">
        <f>T22*'Assumed Values'!$D$8</f>
        <v>0</v>
      </c>
    </row>
    <row r="23" spans="3:21">
      <c r="F23" s="54">
        <f t="shared" si="2"/>
        <v>2037</v>
      </c>
      <c r="G23" s="63">
        <f t="shared" si="6"/>
        <v>35908.711211774134</v>
      </c>
      <c r="H23" s="62">
        <f t="shared" si="8"/>
        <v>1.2772301202458758E-2</v>
      </c>
      <c r="I23" s="54">
        <f>IF(AND(F23&gt;='Inputs &amp; Outputs'!B$13,F23&lt;'Inputs &amp; Outputs'!B$13+'Inputs &amp; Outputs'!B$19),1,0)</f>
        <v>1</v>
      </c>
      <c r="J23" s="55">
        <f>I23*'Inputs &amp; Outputs'!B$16*'Benefit Calculations'!G23*('Benefit Calculations'!C$4-'Benefit Calculations'!C$5)</f>
        <v>2212.9085246900336</v>
      </c>
      <c r="K23" s="71">
        <f t="shared" si="3"/>
        <v>0.6342221825113854</v>
      </c>
      <c r="L23" s="56">
        <f>K23*'Assumed Values'!$C$8</f>
        <v>4761.7401462954813</v>
      </c>
      <c r="M23" s="57">
        <f t="shared" si="0"/>
        <v>1316.6608300829546</v>
      </c>
      <c r="N23" s="55">
        <f>I23*'Inputs &amp; Outputs'!B$16*'Benefit Calculations'!G23*('Benefit Calculations'!D$4-'Benefit Calculations'!D$5)</f>
        <v>781.62225583316877</v>
      </c>
      <c r="O23" s="71">
        <f t="shared" si="4"/>
        <v>0.22401385663396167</v>
      </c>
      <c r="P23" s="56">
        <f>ABS(O23*'Assumed Values'!$C$7)</f>
        <v>426.74639688769696</v>
      </c>
      <c r="Q23" s="57">
        <f t="shared" si="1"/>
        <v>117.99893482179918</v>
      </c>
      <c r="T23" s="68">
        <f t="shared" si="5"/>
        <v>0.57535621641940871</v>
      </c>
      <c r="U23" s="69">
        <f>T23*'Assumed Values'!$D$8</f>
        <v>0</v>
      </c>
    </row>
    <row r="24" spans="3:21">
      <c r="F24" s="54">
        <f t="shared" si="2"/>
        <v>2038</v>
      </c>
      <c r="G24" s="63">
        <f t="shared" si="6"/>
        <v>36367.348087163024</v>
      </c>
      <c r="H24" s="62">
        <f t="shared" si="8"/>
        <v>1.2772301202458758E-2</v>
      </c>
      <c r="I24" s="54">
        <f>IF(AND(F24&gt;='Inputs &amp; Outputs'!B$13,F24&lt;'Inputs &amp; Outputs'!B$13+'Inputs &amp; Outputs'!B$19),1,0)</f>
        <v>1</v>
      </c>
      <c r="J24" s="55">
        <f>I24*'Inputs &amp; Outputs'!B$16*'Benefit Calculations'!G24*('Benefit Calculations'!C$4-'Benefit Calculations'!C$5)</f>
        <v>2241.1724589008636</v>
      </c>
      <c r="K24" s="71">
        <f t="shared" si="3"/>
        <v>0.64232265925570176</v>
      </c>
      <c r="L24" s="56">
        <f>K24*'Assumed Values'!$C$8</f>
        <v>4822.5585256918084</v>
      </c>
      <c r="M24" s="57">
        <f t="shared" si="0"/>
        <v>1246.240765220798</v>
      </c>
      <c r="N24" s="55">
        <f>I24*'Inputs &amp; Outputs'!B$16*'Benefit Calculations'!G24*('Benefit Calculations'!D$4-'Benefit Calculations'!D$5)</f>
        <v>791.60537071121541</v>
      </c>
      <c r="O24" s="71">
        <f t="shared" si="4"/>
        <v>0.22687502908441509</v>
      </c>
      <c r="P24" s="56">
        <f>ABS(O24*'Assumed Values'!$C$7)</f>
        <v>432.19693040581075</v>
      </c>
      <c r="Q24" s="57">
        <f t="shared" si="1"/>
        <v>111.68789977468462</v>
      </c>
      <c r="T24" s="68">
        <f t="shared" si="5"/>
        <v>0.58270483931422457</v>
      </c>
      <c r="U24" s="69">
        <f>T24*'Assumed Values'!$D$8</f>
        <v>0</v>
      </c>
    </row>
    <row r="25" spans="3:21">
      <c r="F25" s="54">
        <f t="shared" si="2"/>
        <v>2039</v>
      </c>
      <c r="G25" s="63">
        <f t="shared" si="6"/>
        <v>36831.842810866932</v>
      </c>
      <c r="H25" s="62">
        <f t="shared" si="8"/>
        <v>1.2772301202458758E-2</v>
      </c>
      <c r="I25" s="54">
        <f>IF(AND(F25&gt;='Inputs &amp; Outputs'!B$13,F25&lt;'Inputs &amp; Outputs'!B$13+'Inputs &amp; Outputs'!B$19),1,0)</f>
        <v>1</v>
      </c>
      <c r="J25" s="55">
        <f>I25*'Inputs &amp; Outputs'!B$16*'Benefit Calculations'!G25*('Benefit Calculations'!C$4-'Benefit Calculations'!C$5)</f>
        <v>2269.7973885926003</v>
      </c>
      <c r="K25" s="71">
        <f t="shared" si="3"/>
        <v>0.65052659772887977</v>
      </c>
      <c r="L25" s="56">
        <f>K25*'Assumed Values'!$C$8</f>
        <v>4884.1536957484295</v>
      </c>
      <c r="M25" s="57">
        <f t="shared" si="0"/>
        <v>1179.5870351822248</v>
      </c>
      <c r="N25" s="55">
        <f>I25*'Inputs &amp; Outputs'!B$16*'Benefit Calculations'!G25*('Benefit Calculations'!D$4-'Benefit Calculations'!D$5)</f>
        <v>801.71599293942302</v>
      </c>
      <c r="O25" s="71">
        <f t="shared" si="4"/>
        <v>0.22977274529119779</v>
      </c>
      <c r="P25" s="56">
        <f>ABS(O25*'Assumed Values'!$C$7)</f>
        <v>437.71707977973176</v>
      </c>
      <c r="Q25" s="57">
        <f t="shared" si="1"/>
        <v>105.71440305726811</v>
      </c>
      <c r="T25" s="68">
        <f t="shared" si="5"/>
        <v>0.59014732103407608</v>
      </c>
      <c r="U25" s="69">
        <f>T25*'Assumed Values'!$D$8</f>
        <v>0</v>
      </c>
    </row>
    <row r="26" spans="3:21">
      <c r="F26" s="54">
        <f t="shared" si="2"/>
        <v>2040</v>
      </c>
      <c r="G26" s="63">
        <f t="shared" si="6"/>
        <v>37302.270201088941</v>
      </c>
      <c r="H26" s="62">
        <f t="shared" si="8"/>
        <v>1.2772301202458758E-2</v>
      </c>
      <c r="I26" s="54">
        <f>IF(AND(F26&gt;='Inputs &amp; Outputs'!B$13,F26&lt;'Inputs &amp; Outputs'!B$13+'Inputs &amp; Outputs'!B$19),1,0)</f>
        <v>1</v>
      </c>
      <c r="J26" s="55">
        <f>I26*'Inputs &amp; Outputs'!B$16*'Benefit Calculations'!G26*('Benefit Calculations'!C$4-'Benefit Calculations'!C$5)</f>
        <v>2298.7879245082595</v>
      </c>
      <c r="K26" s="71">
        <f t="shared" si="3"/>
        <v>0.65883531937528383</v>
      </c>
      <c r="L26" s="56">
        <f>K26*'Assumed Values'!$C$8</f>
        <v>4946.5355778696312</v>
      </c>
      <c r="M26" s="57">
        <f t="shared" si="0"/>
        <v>1116.4982019533529</v>
      </c>
      <c r="N26" s="55">
        <f>I26*'Inputs &amp; Outputs'!B$16*'Benefit Calculations'!G26*('Benefit Calculations'!D$4-'Benefit Calculations'!D$5)</f>
        <v>811.9557510800737</v>
      </c>
      <c r="O26" s="71">
        <f t="shared" si="4"/>
        <v>0.23270747200217284</v>
      </c>
      <c r="P26" s="56">
        <f>ABS(O26*'Assumed Values'!$C$7)</f>
        <v>443.30773416413928</v>
      </c>
      <c r="Q26" s="57">
        <f t="shared" si="1"/>
        <v>100.0603918266857</v>
      </c>
      <c r="T26" s="68">
        <f t="shared" si="5"/>
        <v>0.59768486037214752</v>
      </c>
      <c r="U26" s="69">
        <f>T26*'Assumed Values'!$D$8</f>
        <v>0</v>
      </c>
    </row>
    <row r="27" spans="3:21">
      <c r="F27" s="54">
        <f t="shared" si="2"/>
        <v>2041</v>
      </c>
      <c r="G27" s="63">
        <f t="shared" si="6"/>
        <v>37778.706031632748</v>
      </c>
      <c r="H27" s="62">
        <f t="shared" si="8"/>
        <v>1.2772301202458758E-2</v>
      </c>
      <c r="I27" s="54">
        <f>IF(AND(F27&gt;='Inputs &amp; Outputs'!B$13,F27&lt;'Inputs &amp; Outputs'!B$13+'Inputs &amp; Outputs'!B$19),1,0)</f>
        <v>1</v>
      </c>
      <c r="J27" s="55">
        <f>I27*'Inputs &amp; Outputs'!B$16*'Benefit Calculations'!G27*('Benefit Calculations'!C$4-'Benefit Calculations'!C$5)</f>
        <v>2328.1487362806538</v>
      </c>
      <c r="K27" s="71">
        <f t="shared" si="3"/>
        <v>0.66725016251716296</v>
      </c>
      <c r="L27" s="56">
        <f>K27*'Assumed Values'!$C$8</f>
        <v>5009.7142201788593</v>
      </c>
      <c r="M27" s="57">
        <f t="shared" si="0"/>
        <v>1056.78360119692</v>
      </c>
      <c r="N27" s="55">
        <f>I27*'Inputs &amp; Outputs'!B$16*'Benefit Calculations'!G27*('Benefit Calculations'!D$4-'Benefit Calculations'!D$5)</f>
        <v>822.32629449593696</v>
      </c>
      <c r="O27" s="71">
        <f t="shared" si="4"/>
        <v>0.23567968192664732</v>
      </c>
      <c r="P27" s="56">
        <f>ABS(O27*'Assumed Values'!$C$7)</f>
        <v>448.96979407026316</v>
      </c>
      <c r="Q27" s="57">
        <f t="shared" si="1"/>
        <v>94.70877877526371</v>
      </c>
      <c r="T27" s="68">
        <f t="shared" si="5"/>
        <v>0.60531867143297002</v>
      </c>
      <c r="U27" s="69">
        <f>T27*'Assumed Values'!$D$8</f>
        <v>0</v>
      </c>
    </row>
    <row r="28" spans="3:21">
      <c r="F28" s="54">
        <f t="shared" si="2"/>
        <v>2042</v>
      </c>
      <c r="G28" s="63">
        <f t="shared" si="6"/>
        <v>38261.227044107909</v>
      </c>
      <c r="H28" s="62">
        <f t="shared" si="8"/>
        <v>1.2772301202458758E-2</v>
      </c>
      <c r="I28" s="54">
        <f>IF(AND(F28&gt;='Inputs &amp; Outputs'!B$13,F28&lt;'Inputs &amp; Outputs'!B$13+'Inputs &amp; Outputs'!B$19),1,0)</f>
        <v>1</v>
      </c>
      <c r="J28" s="55">
        <f>I28*'Inputs &amp; Outputs'!B$16*'Benefit Calculations'!G28*('Benefit Calculations'!C$4-'Benefit Calculations'!C$5)</f>
        <v>2357.8845531845541</v>
      </c>
      <c r="K28" s="71">
        <f t="shared" si="3"/>
        <v>0.67577248257022171</v>
      </c>
      <c r="L28" s="56">
        <f>K28*'Assumed Values'!$C$8</f>
        <v>5073.6997991372245</v>
      </c>
      <c r="M28" s="57">
        <f t="shared" si="0"/>
        <v>1000.2627660347908</v>
      </c>
      <c r="N28" s="55">
        <f>I28*'Inputs &amp; Outputs'!B$16*'Benefit Calculations'!G28*('Benefit Calculations'!D$4-'Benefit Calculations'!D$5)</f>
        <v>832.82929361594086</v>
      </c>
      <c r="O28" s="71">
        <f t="shared" si="4"/>
        <v>0.23868985381151411</v>
      </c>
      <c r="P28" s="56">
        <f>ABS(O28*'Assumed Values'!$C$7)</f>
        <v>454.70417151093437</v>
      </c>
      <c r="Q28" s="57">
        <f t="shared" si="1"/>
        <v>89.643390489998495</v>
      </c>
      <c r="T28" s="68">
        <f t="shared" si="5"/>
        <v>0.61304998382798404</v>
      </c>
      <c r="U28" s="69">
        <f>T28*'Assumed Values'!$D$8</f>
        <v>0</v>
      </c>
    </row>
    <row r="29" spans="3:21">
      <c r="F29" s="54">
        <f t="shared" si="2"/>
        <v>2043</v>
      </c>
      <c r="G29" s="63">
        <f t="shared" si="6"/>
        <v>38749.910960290916</v>
      </c>
      <c r="H29" s="62">
        <f t="shared" si="8"/>
        <v>1.2772301202458758E-2</v>
      </c>
      <c r="I29" s="54">
        <f>IF(AND(F29&gt;='Inputs &amp; Outputs'!B$13,F29&lt;'Inputs &amp; Outputs'!B$13+'Inputs &amp; Outputs'!B$19),1,0)</f>
        <v>1</v>
      </c>
      <c r="J29" s="55">
        <f>I29*'Inputs &amp; Outputs'!B$16*'Benefit Calculations'!G29*('Benefit Calculations'!C$4-'Benefit Calculations'!C$5)</f>
        <v>2388.0001648984526</v>
      </c>
      <c r="K29" s="71">
        <f t="shared" si="3"/>
        <v>0.68440365226194211</v>
      </c>
      <c r="L29" s="56">
        <f>K29*'Assumed Values'!$C$8</f>
        <v>5138.5026211826616</v>
      </c>
      <c r="M29" s="57">
        <f t="shared" si="0"/>
        <v>946.76488164877765</v>
      </c>
      <c r="N29" s="55">
        <f>I29*'Inputs &amp; Outputs'!B$16*'Benefit Calculations'!G29*('Benefit Calculations'!D$4-'Benefit Calculations'!D$5)</f>
        <v>843.46644020423469</v>
      </c>
      <c r="O29" s="71">
        <f t="shared" si="4"/>
        <v>0.24173847251836564</v>
      </c>
      <c r="P29" s="56">
        <f>ABS(O29*'Assumed Values'!$C$7)</f>
        <v>460.51179014748652</v>
      </c>
      <c r="Q29" s="57">
        <f t="shared" si="1"/>
        <v>84.848918573968589</v>
      </c>
      <c r="T29" s="68">
        <f t="shared" si="5"/>
        <v>0.62088004287359766</v>
      </c>
      <c r="U29" s="69">
        <f>T29*'Assumed Values'!$D$8</f>
        <v>0</v>
      </c>
    </row>
    <row r="30" spans="3:21">
      <c r="F30" s="54">
        <f t="shared" si="2"/>
        <v>2044</v>
      </c>
      <c r="G30" s="63">
        <f t="shared" si="6"/>
        <v>39244.836494644209</v>
      </c>
      <c r="H30" s="62">
        <f t="shared" si="8"/>
        <v>1.2772301202458758E-2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42350</v>
      </c>
      <c r="H31" s="62">
        <f t="shared" si="8"/>
        <v>1.2772301202458758E-2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42890.906955924125</v>
      </c>
      <c r="H32" s="62">
        <f t="shared" si="8"/>
        <v>1.2772301202458758E-2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43438.722538411821</v>
      </c>
      <c r="H33" s="62">
        <f t="shared" si="8"/>
        <v>1.2772301202458758E-2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43993.534986522449</v>
      </c>
      <c r="H34" s="62">
        <f t="shared" si="8"/>
        <v>1.2772301202458758E-2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44555.433666331221</v>
      </c>
      <c r="H35" s="62">
        <f t="shared" si="8"/>
        <v>1.2772301202458758E-2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45124.509085323771</v>
      </c>
      <c r="H36" s="62">
        <f t="shared" si="8"/>
        <v>1.2772301202458758E-2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42442.519259589448</v>
      </c>
      <c r="K37" s="55">
        <f t="shared" ref="K37:Q37" si="9">SUM(K4:K36)</f>
        <v>12.16407587379546</v>
      </c>
      <c r="L37" s="58">
        <f t="shared" si="9"/>
        <v>91327.881660456289</v>
      </c>
      <c r="M37" s="59">
        <f t="shared" si="9"/>
        <v>33538.199419716373</v>
      </c>
      <c r="N37" s="55">
        <f t="shared" si="9"/>
        <v>14991.138258446439</v>
      </c>
      <c r="O37" s="55">
        <f t="shared" si="9"/>
        <v>4.2964778338199014</v>
      </c>
      <c r="P37" s="55">
        <f t="shared" si="9"/>
        <v>8184.7902734269146</v>
      </c>
      <c r="Q37" s="59">
        <f t="shared" si="9"/>
        <v>3005.6881141654985</v>
      </c>
      <c r="T37" s="68">
        <f>SUM(T4:T36)</f>
        <v>11.035055007493261</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55</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55</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55</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55</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FCC83F-F680-4F44-9437-A7A285DA9657}"/>
</file>

<file path=customXml/itemProps2.xml><?xml version="1.0" encoding="utf-8"?>
<ds:datastoreItem xmlns:ds="http://schemas.openxmlformats.org/officeDocument/2006/customXml" ds:itemID="{009722E4-8C0C-4A2D-B62E-CD8241DB3267}"/>
</file>

<file path=customXml/itemProps3.xml><?xml version="1.0" encoding="utf-8"?>
<ds:datastoreItem xmlns:ds="http://schemas.openxmlformats.org/officeDocument/2006/customXml" ds:itemID="{370ABC37-75E4-46A3-9EBA-11F3A63CF876}"/>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2018-10-31T00:27:34Z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