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5_AM_FM2920/"/>
    </mc:Choice>
  </mc:AlternateContent>
  <xr:revisionPtr revIDLastSave="22" documentId="8_{555DD8AD-F574-4ACE-AC64-BC13EAF44F9E}" xr6:coauthVersionLast="40" xr6:coauthVersionMax="40" xr10:uidLastSave="{4F4CB3D7-0065-4087-990C-DA2DF268C8D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<sst xmlns="http://schemas.openxmlformats.org/spreadsheetml/2006/main" count="292" uniqueCount="238">
  <si>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</si>
  <si>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</si>
  <si>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</si>
  <si>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</si>
  <si>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</si>
  <si>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</si>
  <si>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</si>
  <si>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</si>
  <si>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</si>
  <si>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</si>
  <si>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</si>
  <si>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</si>
  <si>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</si>
  <si>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</si>
  <si>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</si>
  <si>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</si>
  <si>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</si>
  <si>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</si>
  <si>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</si>
  <si>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</si>
  <si>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</si>
  <si>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</si>
  <si>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</si>
  <si>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</si>
  <si>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</si>
  <si>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</si>
  <si>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</si>
  <si>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</si>
  <si>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</si>
  <si>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</si>
  <si>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</si>
  <si>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</si>
  <si>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</si>
  <si>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</si>
  <si>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</si>
  <si>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</si>
  <si>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</si>
  <si>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</si>
  <si>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</si>
  <si>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</si>
  <si>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</si>
  <si>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</si>
  <si>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</si>
  <si>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</si>
  <si>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</si>
  <si>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</si>
  <si>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</si>
  <si>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</si>
  <si>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</si>
  <si>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2920 Access Management</t>
  </si>
  <si>
    <t>Data entered by the sponsors</t>
  </si>
  <si>
    <t>County</t>
  </si>
  <si>
    <t>Harris</t>
  </si>
  <si>
    <t>HGAC regional travel demand model data provided by HGAC</t>
  </si>
  <si>
    <t>Facility Type</t>
  </si>
  <si>
    <t>Non Freeway</t>
  </si>
  <si>
    <t>Data populated/calculated based on inputs</t>
  </si>
  <si>
    <t>Street Name:</t>
  </si>
  <si>
    <t>FM 2920</t>
  </si>
  <si>
    <t>Benefits calculated by the template</t>
  </si>
  <si>
    <t>Limits (From)</t>
  </si>
  <si>
    <t>Kuykendahl Rd</t>
  </si>
  <si>
    <t>Limits (To)</t>
  </si>
  <si>
    <t>Lexington Rd</t>
  </si>
  <si>
    <t>Length (in Miles)</t>
  </si>
  <si>
    <t>Application ID Number:</t>
  </si>
  <si>
    <t>Sponsor ID Number (CSJ, etc.):</t>
  </si>
  <si>
    <t>No</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</si>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</sst>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5.3</v>
      </c>
    </row>
    <row r="13" spans="1:7">
      <c r="A13" s="7" t="s">
        <v>65</v>
      </c>
      <c r="B13" s="117">
        <v>223</v>
      </c>
      <c r="F13" s="100"/>
    </row>
    <row r="14" spans="1:7">
      <c r="A14" s="7" t="s">
        <v>66</v>
      </c>
      <c r="B14" s="117" t="s">
        <v>67</v>
      </c>
    </row>
    <row r="17" spans="1:7">
      <c r="A17" s="99" t="s">
        <v>68</v>
      </c>
      <c r="E17" s="130" t="s">
        <v>69</v>
      </c>
      <c r="F17" s="131"/>
    </row>
    <row r="18" spans="1:7">
      <c r="A18" s="7" t="s">
        <v>70</v>
      </c>
      <c r="B18" s="118">
        <v>2024</v>
      </c>
      <c r="E18" s="88" t="s">
        <v>71</v>
      </c>
      <c r="F18" s="123">
        <f>$B$12/$B$32</f>
        <v>0.14722222222222223</v>
      </c>
    </row>
    <row r="19" spans="1:7" ht="30">
      <c r="A19" s="7" t="s">
        <v>72</v>
      </c>
      <c r="B19" s="119" t="s">
        <v>73</v>
      </c>
      <c r="E19" s="90" t="s">
        <v>74</v>
      </c>
      <c r="F19" s="124">
        <f>$B$12/$B$33</f>
        <v>0.26500000000000001</v>
      </c>
    </row>
    <row r="20" spans="1:7" ht="30">
      <c r="A20" s="114" t="s">
        <v>75</v>
      </c>
      <c r="B20" s="115">
        <f>VLOOKUP(B19,'Delay Reduction Factors'!B4:C80,2, FALSE)</f>
        <v>0.3</v>
      </c>
      <c r="E20" s="90" t="s">
        <v>76</v>
      </c>
      <c r="F20" s="123">
        <f>$F$19-$F$18</f>
        <v>0.11777777777777779</v>
      </c>
    </row>
    <row r="21" spans="1:7">
      <c r="A21" s="7" t="s">
        <v>77</v>
      </c>
      <c r="B21" s="64">
        <v>20</v>
      </c>
      <c r="D21" s="101"/>
      <c r="E21" s="88" t="s">
        <v>78</v>
      </c>
      <c r="F21" s="123">
        <f>$F$20*$B$20</f>
        <v>3.5333333333333335E-2</v>
      </c>
      <c r="G21" s="102"/>
    </row>
    <row r="22" spans="1:7">
      <c r="D22" s="101"/>
      <c r="E22" s="88" t="s">
        <v>79</v>
      </c>
      <c r="F22" s="123">
        <f>$F$20-$F$21</f>
        <v>8.2444444444444459E-2</v>
      </c>
      <c r="G22" s="102"/>
    </row>
    <row r="23" spans="1:7">
      <c r="E23" s="88" t="s">
        <v>80</v>
      </c>
      <c r="F23" s="123">
        <f>$F$18+$F$22</f>
        <v>0.22966666666666669</v>
      </c>
    </row>
    <row r="24" spans="1:7">
      <c r="A24" s="99" t="s">
        <v>81</v>
      </c>
      <c r="B24" s="103"/>
      <c r="D24" s="101"/>
    </row>
    <row r="25" spans="1:7">
      <c r="A25" s="7" t="s">
        <v>82</v>
      </c>
      <c r="B25" s="127">
        <v>24359</v>
      </c>
      <c r="D25" s="101"/>
    </row>
    <row r="28" spans="1:7">
      <c r="A28" s="88" t="s">
        <v>83</v>
      </c>
      <c r="B28" s="113">
        <f>IF(FacilityType='Delay Reduction Factors'!N5,'Inputs &amp; Outputs'!B25*45%, B25*43%)</f>
        <v>10474.369999999999</v>
      </c>
      <c r="D28" s="101"/>
      <c r="E28" s="104" t="s">
        <v>84</v>
      </c>
      <c r="F28" s="105" t="s">
        <v>2</v>
      </c>
      <c r="G28" s="106" t="s">
        <v>85</v>
      </c>
    </row>
    <row r="29" spans="1:7">
      <c r="A29" s="88" t="s">
        <v>86</v>
      </c>
      <c r="B29" s="96">
        <f>VLOOKUP(Year_Open_to_Traffic?,Calculations!H4:I36,2)</f>
        <v>13858.926148528597</v>
      </c>
      <c r="D29" s="101"/>
      <c r="E29" s="90" t="s">
        <v>87</v>
      </c>
      <c r="F29" s="84">
        <f>$B$29*$F$23</f>
        <v>3182.9333721120679</v>
      </c>
      <c r="G29" s="85">
        <f>$B$29*$F$19</f>
        <v>3672.6154293600785</v>
      </c>
    </row>
    <row r="30" spans="1:7">
      <c r="B30" s="83"/>
      <c r="D30" s="101"/>
    </row>
    <row r="32" spans="1:7">
      <c r="A32" s="107" t="s">
        <v>88</v>
      </c>
      <c r="B32" s="120">
        <v>36</v>
      </c>
      <c r="D32" s="101"/>
    </row>
    <row r="33" spans="1:7" ht="30">
      <c r="A33" s="108" t="s">
        <v>89</v>
      </c>
      <c r="B33" s="121">
        <v>20</v>
      </c>
      <c r="D33" s="101"/>
      <c r="E33" s="101"/>
      <c r="F33" s="109"/>
    </row>
    <row r="34" spans="1:7">
      <c r="A34" s="110"/>
      <c r="B34" s="122"/>
      <c r="F34" s="109"/>
      <c r="G34" s="109"/>
    </row>
    <row r="35" spans="1:7">
      <c r="A35" s="88" t="s">
        <v>90</v>
      </c>
      <c r="B35" s="126">
        <f>$B$28</f>
        <v>10474.369999999999</v>
      </c>
    </row>
    <row r="36" spans="1:7">
      <c r="A36" s="107" t="s">
        <v>91</v>
      </c>
      <c r="B36" s="120">
        <v>21722</v>
      </c>
    </row>
    <row r="37" spans="1:7">
      <c r="A37" s="107" t="s">
        <v>92</v>
      </c>
      <c r="B37" s="120">
        <v>14521</v>
      </c>
    </row>
    <row r="38" spans="1:7">
      <c r="A38" s="107" t="s">
        <v>93</v>
      </c>
      <c r="B38" s="120">
        <v>21722</v>
      </c>
    </row>
    <row r="39" spans="1:7">
      <c r="A39" s="107" t="s">
        <v>94</v>
      </c>
      <c r="B39" s="120">
        <v>18226</v>
      </c>
    </row>
    <row r="40" spans="1:7">
      <c r="A40" s="107" t="s">
        <v>95</v>
      </c>
      <c r="B40" s="120">
        <v>21722</v>
      </c>
      <c r="G40" s="111"/>
    </row>
    <row r="42" spans="1:7" ht="18.75">
      <c r="A42" s="97" t="s">
        <v>96</v>
      </c>
      <c r="B42" s="95"/>
    </row>
    <row r="43" spans="1:7">
      <c r="C43" s="98"/>
      <c r="D43" s="98"/>
      <c r="E43" s="98"/>
      <c r="F43" s="98"/>
      <c r="G43" s="98"/>
    </row>
    <row r="44" spans="1:7" hidden="1">
      <c r="A44" s="112" t="s">
        <v>97</v>
      </c>
    </row>
    <row r="45" spans="1:7">
      <c r="A45" s="112" t="s">
        <v>97</v>
      </c>
    </row>
    <row r="46" spans="1:7">
      <c r="A46" s="89" t="s">
        <v>98</v>
      </c>
      <c r="B46" s="40">
        <f>Calculations!$T$37</f>
        <v>36688.017600146872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827562.6767491377</v>
      </c>
      <c r="F4" s="21">
        <f>'Inputs &amp; Outputs'!G29*Annual_Days_of_Travel</f>
        <v>954880.01163362036</v>
      </c>
      <c r="H4" s="49">
        <v>2018</v>
      </c>
      <c r="I4" s="50">
        <f>'Inputs &amp; Outputs'!B28</f>
        <v>10474.369999999999</v>
      </c>
      <c r="J4" s="50">
        <f>IF(H4=Year_Open_to_Traffic?,$F$4,0)</f>
        <v>0</v>
      </c>
      <c r="K4" s="50">
        <f>IF(H4=Year_Open_to_Traffic?,Calculations!$E$4,0)</f>
        <v>0</v>
      </c>
      <c r="L4" s="50">
        <f>IF(AND(H4&gt;=Year_Open_to_Traffic?, Calculations!H4&lt;Year_Open_to_Traffic?+'Inputs &amp; Outputs'!B$21), 1, 0)</f>
        <v>0</v>
      </c>
      <c r="M4" s="66" t="s">
        <v>111</v>
      </c>
      <c r="N4" s="67">
        <f>MIN(E8,1)</f>
        <v>0.48220099438357422</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4.7772377482630857E-2</v>
      </c>
      <c r="F5" s="26"/>
      <c r="H5" s="14">
        <f t="shared" ref="H5:H36" si="3">H4+1</f>
        <v>2019</v>
      </c>
      <c r="I5" s="80">
        <f>(I4*M5)+I4</f>
        <v>10974.755557532742</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4.7772377482630857E-2</v>
      </c>
      <c r="N5" s="72">
        <f t="shared" ref="N5:N11" si="6">N4*(1+IFERROR(_2018_2025_V_C_Growth,_2018_2045_V_C_Growth))</f>
        <v>0.50523688230976627</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1.1427463688283401E-2</v>
      </c>
      <c r="F6" s="26"/>
      <c r="H6" s="49">
        <f t="shared" si="3"/>
        <v>2020</v>
      </c>
      <c r="I6" s="80">
        <f t="shared" ref="I6:I36" si="10">(I5*M6)+I5</f>
        <v>11499.045722806797</v>
      </c>
      <c r="J6" s="50">
        <f t="shared" si="4"/>
        <v>0</v>
      </c>
      <c r="K6" s="50">
        <f>IF(H6=Year_Open_to_Traffic?,Calculations!$E$4,K5+(K5*M6))</f>
        <v>0</v>
      </c>
      <c r="L6" s="50">
        <f>IF(AND(H6&gt;=Year_Open_to_Traffic?, Calculations!H6&lt;Year_Open_to_Traffic?+'Inputs &amp; Outputs'!B$21), 1, 0)</f>
        <v>0</v>
      </c>
      <c r="M6" s="66">
        <f t="shared" si="5"/>
        <v>4.7772377482630857E-2</v>
      </c>
      <c r="N6" s="72">
        <f t="shared" si="6"/>
        <v>0.52937324936961594</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2.0727363887232286E-2</v>
      </c>
      <c r="F7" s="26"/>
      <c r="H7" s="14">
        <f t="shared" si="3"/>
        <v>2021</v>
      </c>
      <c r="I7" s="80">
        <f t="shared" si="10"/>
        <v>12048.382475766755</v>
      </c>
      <c r="J7" s="50">
        <f t="shared" si="4"/>
        <v>0</v>
      </c>
      <c r="K7" s="50">
        <f>IF(H7=Year_Open_to_Traffic?,Calculations!$E$4,K6+(K6*M7))</f>
        <v>0</v>
      </c>
      <c r="L7" s="50">
        <f>IF(AND(H7&gt;=Year_Open_to_Traffic?, Calculations!H7&lt;Year_Open_to_Traffic?+'Inputs &amp; Outputs'!B$21), 1, 0)</f>
        <v>0</v>
      </c>
      <c r="M7" s="66">
        <f t="shared" si="5"/>
        <v>4.7772377482630857E-2</v>
      </c>
      <c r="N7" s="72">
        <f t="shared" si="6"/>
        <v>0.55466266806770814</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0.48220099438357422</v>
      </c>
      <c r="F8" s="26"/>
      <c r="H8" s="49">
        <f t="shared" si="3"/>
        <v>2022</v>
      </c>
      <c r="I8" s="80">
        <f t="shared" si="10"/>
        <v>12623.9623514542</v>
      </c>
      <c r="J8" s="50">
        <f t="shared" si="4"/>
        <v>0</v>
      </c>
      <c r="K8" s="50">
        <f>IF(H8=Year_Open_to_Traffic?,Calculations!$E$4,K7+(K7*M8))</f>
        <v>0</v>
      </c>
      <c r="L8" s="50">
        <f>IF(AND(H8&gt;=Year_Open_to_Traffic?, Calculations!H8&lt;Year_Open_to_Traffic?+'Inputs &amp; Outputs'!B$21), 1, 0)</f>
        <v>0</v>
      </c>
      <c r="M8" s="66">
        <f t="shared" si="5"/>
        <v>4.7772377482630857E-2</v>
      </c>
      <c r="N8" s="72">
        <f t="shared" si="6"/>
        <v>0.58116022242216192</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0.66849277230457604</v>
      </c>
      <c r="F9" s="26"/>
      <c r="H9" s="14">
        <f t="shared" si="3"/>
        <v>2023</v>
      </c>
      <c r="I9" s="80">
        <f t="shared" si="10"/>
        <v>13227.039046234389</v>
      </c>
      <c r="J9" s="50">
        <f t="shared" si="4"/>
        <v>0</v>
      </c>
      <c r="K9" s="50">
        <f>IF(H9=Year_Open_to_Traffic?,Calculations!$E$4,K8+(K8*M9))</f>
        <v>0</v>
      </c>
      <c r="L9" s="50">
        <f>IF(AND(H9&gt;=Year_Open_to_Traffic?, Calculations!H9&lt;Year_Open_to_Traffic?+'Inputs &amp; Outputs'!B$21), 1, 0)</f>
        <v>0</v>
      </c>
      <c r="M9" s="66">
        <f t="shared" si="5"/>
        <v>4.7772377482630857E-2</v>
      </c>
      <c r="N9" s="72">
        <f t="shared" si="6"/>
        <v>0.60892362794560317</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0.83905717705551974</v>
      </c>
      <c r="F10" s="26"/>
      <c r="H10" s="49">
        <f t="shared" si="3"/>
        <v>2024</v>
      </c>
      <c r="I10" s="80">
        <f t="shared" si="10"/>
        <v>13858.926148528597</v>
      </c>
      <c r="J10" s="50">
        <f t="shared" si="4"/>
        <v>954880.01163362036</v>
      </c>
      <c r="K10" s="50">
        <f>IF(H10=Year_Open_to_Traffic?,Calculations!$E$4,K9+(K9*M10))</f>
        <v>827562.6767491377</v>
      </c>
      <c r="L10" s="50">
        <f>IF(AND(H10&gt;=Year_Open_to_Traffic?, Calculations!H10&lt;Year_Open_to_Traffic?+'Inputs &amp; Outputs'!B$21), 1, 0)</f>
        <v>1</v>
      </c>
      <c r="M10" s="66">
        <f t="shared" si="5"/>
        <v>4.7772377482630857E-2</v>
      </c>
      <c r="N10" s="72">
        <f t="shared" si="6"/>
        <v>0.63801335735791365</v>
      </c>
      <c r="O10" s="73">
        <f t="shared" si="7"/>
        <v>1</v>
      </c>
      <c r="P10" s="69">
        <f>(J10-K10)*L10</f>
        <v>127317.33488448267</v>
      </c>
      <c r="Q10" s="70">
        <f t="shared" si="0"/>
        <v>1</v>
      </c>
      <c r="R10" s="71">
        <f t="shared" si="1"/>
        <v>20.320200961804083</v>
      </c>
      <c r="S10" s="78">
        <f t="shared" si="2"/>
        <v>3596.0882247758564</v>
      </c>
      <c r="T10" s="65">
        <f t="shared" si="9"/>
        <v>2396.225424737519</v>
      </c>
      <c r="W10" s="59"/>
    </row>
    <row r="11" spans="1:24" ht="30" customHeight="1">
      <c r="A11" s="132" t="s">
        <v>121</v>
      </c>
      <c r="B11" s="133"/>
      <c r="D11" s="17" t="s">
        <v>122</v>
      </c>
      <c r="E11" s="39">
        <f>(E9/E8)^(1/(2025-2018))-1</f>
        <v>4.7772377482630857E-2</v>
      </c>
      <c r="F11" s="26"/>
      <c r="H11" s="14">
        <f t="shared" si="3"/>
        <v>2025</v>
      </c>
      <c r="I11" s="80">
        <f t="shared" si="10"/>
        <v>14521.000000000009</v>
      </c>
      <c r="J11" s="50">
        <f t="shared" si="4"/>
        <v>1000496.9000000006</v>
      </c>
      <c r="K11" s="50">
        <f>IF(H11=Year_Open_to_Traffic?,Calculations!$E$4,K10+(K10*M11))</f>
        <v>867097.31333333394</v>
      </c>
      <c r="L11" s="50">
        <f>IF(AND(H11&gt;=Year_Open_to_Traffic?, Calculations!H11&lt;Year_Open_to_Traffic?+'Inputs &amp; Outputs'!B$21), 1, 0)</f>
        <v>1</v>
      </c>
      <c r="M11" s="66">
        <f t="shared" si="5"/>
        <v>4.7772377482630857E-2</v>
      </c>
      <c r="N11" s="72">
        <f t="shared" si="6"/>
        <v>0.6684927723045766</v>
      </c>
      <c r="O11" s="73">
        <f t="shared" si="7"/>
        <v>1</v>
      </c>
      <c r="P11" s="69">
        <f t="shared" si="8"/>
        <v>133399.58666666667</v>
      </c>
      <c r="Q11" s="70">
        <f t="shared" si="0"/>
        <v>1</v>
      </c>
      <c r="R11" s="71">
        <f t="shared" si="1"/>
        <v>20.787565583925574</v>
      </c>
      <c r="S11" s="78">
        <f t="shared" si="2"/>
        <v>3854.5431928156368</v>
      </c>
      <c r="T11" s="65">
        <f t="shared" si="9"/>
        <v>2400.4157784089457</v>
      </c>
      <c r="W11" s="59"/>
    </row>
    <row r="12" spans="1:24">
      <c r="A12" s="17" t="s">
        <v>123</v>
      </c>
      <c r="B12" s="18">
        <v>0.45</v>
      </c>
      <c r="D12" s="17" t="s">
        <v>124</v>
      </c>
      <c r="E12" s="39">
        <f>(E10/E9)^(1/(2045-2025))-1</f>
        <v>1.1427463688283401E-2</v>
      </c>
      <c r="F12" s="26"/>
      <c r="H12" s="49">
        <v>2026</v>
      </c>
      <c r="I12" s="80">
        <f t="shared" si="10"/>
        <v>14686.938200217572</v>
      </c>
      <c r="J12" s="50">
        <f t="shared" si="4"/>
        <v>1011930.0419949907</v>
      </c>
      <c r="K12" s="50">
        <f>IF(H12=Year_Open_to_Traffic?,Calculations!$E$4,K11+(K11*M12))</f>
        <v>877006.03639565874</v>
      </c>
      <c r="L12" s="50">
        <f>IF(AND(H12&gt;=Year_Open_to_Traffic?, Calculations!H12&lt;Year_Open_to_Traffic?+'Inputs &amp; Outputs'!B$21), 1, 0)</f>
        <v>1</v>
      </c>
      <c r="M12" s="66">
        <f t="shared" ref="M12:M36" si="11">IFERROR(_2025_2045_Demand_Growth,_2018_2045_Demand_Growth)</f>
        <v>1.1427463688283401E-2</v>
      </c>
      <c r="N12" s="72">
        <f t="shared" ref="N12:N36" si="12">N11*(1+IFERROR(_2025_2045_V_C_Growth,_2018_2045_V_C_Growth))</f>
        <v>0.67613194918596708</v>
      </c>
      <c r="O12" s="73">
        <f t="shared" si="7"/>
        <v>1</v>
      </c>
      <c r="P12" s="69">
        <f t="shared" si="8"/>
        <v>134924.00559933193</v>
      </c>
      <c r="Q12" s="70">
        <f t="shared" si="0"/>
        <v>1</v>
      </c>
      <c r="R12" s="71">
        <f t="shared" si="1"/>
        <v>21.265679592355859</v>
      </c>
      <c r="S12" s="78">
        <f t="shared" si="2"/>
        <v>3988.2584346257422</v>
      </c>
      <c r="T12" s="65">
        <f t="shared" si="9"/>
        <v>2321.2027203104899</v>
      </c>
      <c r="W12" s="59"/>
    </row>
    <row r="13" spans="1:24">
      <c r="A13" s="17" t="s">
        <v>55</v>
      </c>
      <c r="B13" s="18">
        <v>0.43</v>
      </c>
      <c r="D13" s="17" t="s">
        <v>125</v>
      </c>
      <c r="E13" s="39">
        <f>(E10/E8)^(1/(2045-2018))-1</f>
        <v>2.0727363887232286E-2</v>
      </c>
      <c r="F13" s="26"/>
      <c r="H13" s="14">
        <f t="shared" si="3"/>
        <v>2027</v>
      </c>
      <c r="I13" s="80">
        <f t="shared" si="10"/>
        <v>14854.77265319262</v>
      </c>
      <c r="J13" s="50">
        <f t="shared" si="4"/>
        <v>1023493.8358049715</v>
      </c>
      <c r="K13" s="50">
        <f>IF(H13=Year_Open_to_Traffic?,Calculations!$E$4,K12+(K12*M13))</f>
        <v>887027.99103097548</v>
      </c>
      <c r="L13" s="50">
        <f>IF(AND(H13&gt;=Year_Open_to_Traffic?, Calculations!H13&lt;Year_Open_to_Traffic?+'Inputs &amp; Outputs'!B$21), 1, 0)</f>
        <v>1</v>
      </c>
      <c r="M13" s="66">
        <f t="shared" si="11"/>
        <v>1.1427463688283401E-2</v>
      </c>
      <c r="N13" s="72">
        <f t="shared" si="12"/>
        <v>0.68385842248377804</v>
      </c>
      <c r="O13" s="73">
        <f t="shared" si="7"/>
        <v>1</v>
      </c>
      <c r="P13" s="69">
        <f t="shared" si="8"/>
        <v>136465.84477399604</v>
      </c>
      <c r="Q13" s="70">
        <f t="shared" si="0"/>
        <v>1</v>
      </c>
      <c r="R13" s="71">
        <f t="shared" si="1"/>
        <v>21.754790222980041</v>
      </c>
      <c r="S13" s="78">
        <f t="shared" si="2"/>
        <v>4126.6122976674569</v>
      </c>
      <c r="T13" s="65">
        <f t="shared" si="9"/>
        <v>2244.6036712640303</v>
      </c>
      <c r="W13" s="59"/>
    </row>
    <row r="14" spans="1:24">
      <c r="H14" s="49">
        <f>H13+1</f>
        <v>2028</v>
      </c>
      <c r="I14" s="80">
        <f t="shared" si="10"/>
        <v>15024.525028284685</v>
      </c>
      <c r="J14" s="50">
        <f t="shared" si="4"/>
        <v>1035189.7744488147</v>
      </c>
      <c r="K14" s="50">
        <f>IF(H14=Year_Open_to_Traffic?,Calculations!$E$4,K13+(K13*M14))</f>
        <v>897164.47118897294</v>
      </c>
      <c r="L14" s="50">
        <f>IF(AND(H14&gt;=Year_Open_to_Traffic?, Calculations!H14&lt;Year_Open_to_Traffic?+'Inputs &amp; Outputs'!B$21), 1, 0)</f>
        <v>1</v>
      </c>
      <c r="M14" s="66">
        <f t="shared" si="11"/>
        <v>1.1427463688283401E-2</v>
      </c>
      <c r="N14" s="72">
        <f t="shared" si="12"/>
        <v>0.69167318977463821</v>
      </c>
      <c r="O14" s="73">
        <f t="shared" si="7"/>
        <v>1</v>
      </c>
      <c r="P14" s="69">
        <f t="shared" si="8"/>
        <v>138025.30325984175</v>
      </c>
      <c r="Q14" s="70">
        <f t="shared" si="0"/>
        <v>1</v>
      </c>
      <c r="R14" s="71">
        <f t="shared" si="1"/>
        <v>22.255150398108579</v>
      </c>
      <c r="S14" s="78">
        <f t="shared" si="2"/>
        <v>4269.7656970813305</v>
      </c>
      <c r="T14" s="65">
        <f t="shared" si="9"/>
        <v>2170.5323696923942</v>
      </c>
      <c r="W14" s="59"/>
    </row>
    <row r="15" spans="1:24">
      <c r="H15" s="14">
        <f t="shared" si="3"/>
        <v>2029</v>
      </c>
      <c r="I15" s="80">
        <f t="shared" si="10"/>
        <v>15196.217242479113</v>
      </c>
      <c r="J15" s="50">
        <f t="shared" si="4"/>
        <v>1047019.3680068108</v>
      </c>
      <c r="K15" s="50">
        <f>IF(H15=Year_Open_to_Traffic?,Calculations!$E$4,K14+(K14*M15))</f>
        <v>907416.7856059029</v>
      </c>
      <c r="L15" s="50">
        <f>IF(AND(H15&gt;=Year_Open_to_Traffic?, Calculations!H15&lt;Year_Open_to_Traffic?+'Inputs &amp; Outputs'!B$21), 1, 0)</f>
        <v>1</v>
      </c>
      <c r="M15" s="66">
        <f t="shared" si="11"/>
        <v>1.1427463688283401E-2</v>
      </c>
      <c r="N15" s="72">
        <f t="shared" si="12"/>
        <v>0.69957726003494702</v>
      </c>
      <c r="O15" s="73">
        <f t="shared" si="7"/>
        <v>1</v>
      </c>
      <c r="P15" s="69">
        <f t="shared" si="8"/>
        <v>139602.58240090788</v>
      </c>
      <c r="Q15" s="70">
        <f t="shared" si="0"/>
        <v>1</v>
      </c>
      <c r="R15" s="71">
        <f t="shared" si="1"/>
        <v>22.767018857265079</v>
      </c>
      <c r="S15" s="78">
        <f t="shared" si="2"/>
        <v>4417.8851302016756</v>
      </c>
      <c r="T15" s="65">
        <f t="shared" si="9"/>
        <v>2098.9054006266515</v>
      </c>
      <c r="W15" s="59"/>
    </row>
    <row r="16" spans="1:24">
      <c r="H16" s="49">
        <f t="shared" si="3"/>
        <v>2030</v>
      </c>
      <c r="I16" s="80">
        <f t="shared" si="10"/>
        <v>15369.87146321681</v>
      </c>
      <c r="J16" s="50">
        <f t="shared" si="4"/>
        <v>1058984.143815638</v>
      </c>
      <c r="K16" s="50">
        <f>IF(H16=Year_Open_to_Traffic?,Calculations!$E$4,K15+(K15*M16))</f>
        <v>917786.25797355315</v>
      </c>
      <c r="L16" s="50">
        <f>IF(AND(H16&gt;=Year_Open_to_Traffic?, Calculations!H16&lt;Year_Open_to_Traffic?+'Inputs &amp; Outputs'!B$21), 1, 0)</f>
        <v>1</v>
      </c>
      <c r="M16" s="66">
        <f t="shared" si="11"/>
        <v>1.1427463688283401E-2</v>
      </c>
      <c r="N16" s="72">
        <f t="shared" si="12"/>
        <v>0.70757165377114517</v>
      </c>
      <c r="O16" s="73">
        <f t="shared" si="7"/>
        <v>1</v>
      </c>
      <c r="P16" s="69">
        <f t="shared" si="8"/>
        <v>141197.88584208488</v>
      </c>
      <c r="Q16" s="70">
        <f t="shared" si="0"/>
        <v>1</v>
      </c>
      <c r="R16" s="71">
        <f t="shared" si="1"/>
        <v>23.290660290982171</v>
      </c>
      <c r="S16" s="78">
        <f t="shared" si="2"/>
        <v>4571.1428702045032</v>
      </c>
      <c r="T16" s="65">
        <f t="shared" si="9"/>
        <v>2029.6421017688197</v>
      </c>
      <c r="W16" s="59"/>
    </row>
    <row r="17" spans="1:23">
      <c r="A17" s="27"/>
      <c r="H17" s="14">
        <f t="shared" si="3"/>
        <v>2031</v>
      </c>
      <c r="I17" s="80">
        <f t="shared" si="10"/>
        <v>15545.510111256304</v>
      </c>
      <c r="J17" s="50">
        <f t="shared" si="4"/>
        <v>1071085.6466655592</v>
      </c>
      <c r="K17" s="50">
        <f>IF(H17=Year_Open_to_Traffic?,Calculations!$E$4,K16+(K16*M17))</f>
        <v>928274.22711015143</v>
      </c>
      <c r="L17" s="50">
        <f>IF(AND(H17&gt;=Year_Open_to_Traffic?, Calculations!H17&lt;Year_Open_to_Traffic?+'Inputs &amp; Outputs'!B$21), 1, 0)</f>
        <v>1</v>
      </c>
      <c r="M17" s="66">
        <f t="shared" si="11"/>
        <v>1.1427463688283401E-2</v>
      </c>
      <c r="N17" s="72">
        <f t="shared" si="12"/>
        <v>0.71565740315147353</v>
      </c>
      <c r="O17" s="73">
        <f t="shared" si="7"/>
        <v>1</v>
      </c>
      <c r="P17" s="69">
        <f t="shared" si="8"/>
        <v>142811.41955540772</v>
      </c>
      <c r="Q17" s="70">
        <f t="shared" si="0"/>
        <v>1</v>
      </c>
      <c r="R17" s="71">
        <f t="shared" si="1"/>
        <v>23.82634547767476</v>
      </c>
      <c r="S17" s="78">
        <f t="shared" si="2"/>
        <v>4729.7171664731795</v>
      </c>
      <c r="T17" s="65">
        <f t="shared" si="9"/>
        <v>1962.6644726544814</v>
      </c>
      <c r="W17" s="59"/>
    </row>
    <row r="18" spans="1:23">
      <c r="H18" s="49">
        <f t="shared" si="3"/>
        <v>2032</v>
      </c>
      <c r="I18" s="80">
        <f t="shared" si="10"/>
        <v>15723.155863568529</v>
      </c>
      <c r="J18" s="50">
        <f t="shared" si="4"/>
        <v>1083325.4389998713</v>
      </c>
      <c r="K18" s="50">
        <f>IF(H18=Year_Open_to_Traffic?,Calculations!$E$4,K17+(K17*M18))</f>
        <v>938882.04713322199</v>
      </c>
      <c r="L18" s="50">
        <f>IF(AND(H18&gt;=Year_Open_to_Traffic?, Calculations!H18&lt;Year_Open_to_Traffic?+'Inputs &amp; Outputs'!B$21), 1, 0)</f>
        <v>1</v>
      </c>
      <c r="M18" s="66">
        <f t="shared" si="11"/>
        <v>1.1427463688283401E-2</v>
      </c>
      <c r="N18" s="72">
        <f t="shared" si="12"/>
        <v>0.72383555213923823</v>
      </c>
      <c r="O18" s="73">
        <f t="shared" si="7"/>
        <v>1</v>
      </c>
      <c r="P18" s="69">
        <f t="shared" si="8"/>
        <v>144443.39186664927</v>
      </c>
      <c r="Q18" s="70">
        <f t="shared" si="0"/>
        <v>1</v>
      </c>
      <c r="R18" s="71">
        <f t="shared" si="1"/>
        <v>24.374351423661277</v>
      </c>
      <c r="S18" s="78">
        <f t="shared" si="2"/>
        <v>4893.7924519148237</v>
      </c>
      <c r="T18" s="65">
        <f t="shared" si="9"/>
        <v>1897.8970868130166</v>
      </c>
      <c r="W18" s="59"/>
    </row>
    <row r="19" spans="1:23">
      <c r="H19" s="14">
        <f t="shared" si="3"/>
        <v>2033</v>
      </c>
      <c r="I19" s="80">
        <f t="shared" si="10"/>
        <v>15902.831656264678</v>
      </c>
      <c r="J19" s="50">
        <f t="shared" si="4"/>
        <v>1095705.1011166361</v>
      </c>
      <c r="K19" s="50">
        <f>IF(H19=Year_Open_to_Traffic?,Calculations!$E$4,K18+(K18*M19))</f>
        <v>949611.08763441804</v>
      </c>
      <c r="L19" s="50">
        <f>IF(AND(H19&gt;=Year_Open_to_Traffic?, Calculations!H19&lt;Year_Open_to_Traffic?+'Inputs &amp; Outputs'!B$21), 1, 0)</f>
        <v>1</v>
      </c>
      <c r="M19" s="66">
        <f t="shared" si="11"/>
        <v>1.1427463688283401E-2</v>
      </c>
      <c r="N19" s="72">
        <f t="shared" si="12"/>
        <v>0.73210715662759795</v>
      </c>
      <c r="O19" s="73">
        <f t="shared" si="7"/>
        <v>1</v>
      </c>
      <c r="P19" s="69">
        <f t="shared" si="8"/>
        <v>146094.01348221803</v>
      </c>
      <c r="Q19" s="70">
        <f t="shared" si="0"/>
        <v>1</v>
      </c>
      <c r="R19" s="71">
        <f t="shared" si="1"/>
        <v>24.934961506405479</v>
      </c>
      <c r="S19" s="78">
        <f t="shared" si="2"/>
        <v>5063.5595574685913</v>
      </c>
      <c r="T19" s="65">
        <f t="shared" si="9"/>
        <v>1835.267006826519</v>
      </c>
      <c r="W19" s="59"/>
    </row>
    <row r="20" spans="1:23">
      <c r="H20" s="49">
        <f t="shared" si="3"/>
        <v>2034</v>
      </c>
      <c r="I20" s="80">
        <f t="shared" si="10"/>
        <v>16084.560687557527</v>
      </c>
      <c r="J20" s="50">
        <f t="shared" si="4"/>
        <v>1108226.2313727133</v>
      </c>
      <c r="K20" s="50">
        <f>IF(H20=Year_Open_to_Traffic?,Calculations!$E$4,K19+(K19*M20))</f>
        <v>960462.7338563517</v>
      </c>
      <c r="L20" s="50">
        <f>IF(AND(H20&gt;=Year_Open_to_Traffic?, Calculations!H20&lt;Year_Open_to_Traffic?+'Inputs &amp; Outputs'!B$21), 1, 0)</f>
        <v>1</v>
      </c>
      <c r="M20" s="66">
        <f t="shared" si="11"/>
        <v>1.1427463688283401E-2</v>
      </c>
      <c r="N20" s="72">
        <f t="shared" si="12"/>
        <v>0.74047328457589223</v>
      </c>
      <c r="O20" s="73">
        <f t="shared" si="7"/>
        <v>1</v>
      </c>
      <c r="P20" s="69">
        <f t="shared" si="8"/>
        <v>147763.49751636165</v>
      </c>
      <c r="Q20" s="70">
        <f t="shared" si="0"/>
        <v>1</v>
      </c>
      <c r="R20" s="71">
        <f t="shared" si="1"/>
        <v>25.508465621052807</v>
      </c>
      <c r="S20" s="78">
        <f t="shared" si="2"/>
        <v>5239.2159340552598</v>
      </c>
      <c r="T20" s="65">
        <f t="shared" si="9"/>
        <v>1774.7037021917354</v>
      </c>
      <c r="W20" s="59"/>
    </row>
    <row r="21" spans="1:23">
      <c r="H21" s="14">
        <f t="shared" si="3"/>
        <v>2035</v>
      </c>
      <c r="I21" s="80">
        <f t="shared" si="10"/>
        <v>16268.366420756582</v>
      </c>
      <c r="J21" s="50">
        <f t="shared" si="4"/>
        <v>1120890.4463901282</v>
      </c>
      <c r="K21" s="50">
        <f>IF(H21=Year_Open_to_Traffic?,Calculations!$E$4,K20+(K20*M21))</f>
        <v>971438.38687144453</v>
      </c>
      <c r="L21" s="50">
        <f>IF(AND(H21&gt;=Year_Open_to_Traffic?, Calculations!H21&lt;Year_Open_to_Traffic?+'Inputs &amp; Outputs'!B$21), 1, 0)</f>
        <v>1</v>
      </c>
      <c r="M21" s="66">
        <f t="shared" si="11"/>
        <v>1.1427463688283401E-2</v>
      </c>
      <c r="N21" s="72">
        <f t="shared" si="12"/>
        <v>0.74893501614752722</v>
      </c>
      <c r="O21" s="73">
        <f t="shared" si="7"/>
        <v>1</v>
      </c>
      <c r="P21" s="69">
        <f t="shared" si="8"/>
        <v>149452.0595186837</v>
      </c>
      <c r="Q21" s="70">
        <f t="shared" si="0"/>
        <v>1</v>
      </c>
      <c r="R21" s="71">
        <f t="shared" si="1"/>
        <v>26.095160330337016</v>
      </c>
      <c r="S21" s="78">
        <f t="shared" si="2"/>
        <v>5420.9658822263791</v>
      </c>
      <c r="T21" s="65">
        <f t="shared" si="9"/>
        <v>1716.1389698925532</v>
      </c>
      <c r="W21" s="59"/>
    </row>
    <row r="22" spans="1:23">
      <c r="H22" s="49">
        <f>H21+1</f>
        <v>2036</v>
      </c>
      <c r="I22" s="80">
        <f t="shared" si="10"/>
        <v>16454.272587297466</v>
      </c>
      <c r="J22" s="50">
        <f t="shared" si="4"/>
        <v>1133699.3812647951</v>
      </c>
      <c r="K22" s="50">
        <f>IF(H22=Year_Open_to_Traffic?,Calculations!$E$4,K21+(K21*M22))</f>
        <v>982539.46376282256</v>
      </c>
      <c r="L22" s="50">
        <f>IF(AND(H22&gt;=Year_Open_to_Traffic?, Calculations!H22&lt;Year_Open_to_Traffic?+'Inputs &amp; Outputs'!B$21), 1, 0)</f>
        <v>1</v>
      </c>
      <c r="M22" s="66">
        <f t="shared" si="11"/>
        <v>1.1427463688283401E-2</v>
      </c>
      <c r="N22" s="72">
        <f t="shared" si="12"/>
        <v>0.75749344384943706</v>
      </c>
      <c r="O22" s="73">
        <f t="shared" si="7"/>
        <v>1</v>
      </c>
      <c r="P22" s="69">
        <f t="shared" si="8"/>
        <v>151159.91750197252</v>
      </c>
      <c r="Q22" s="70">
        <f t="shared" si="0"/>
        <v>1</v>
      </c>
      <c r="R22" s="71">
        <f t="shared" si="1"/>
        <v>26.695349017934767</v>
      </c>
      <c r="S22" s="78">
        <f t="shared" si="2"/>
        <v>5609.020789779961</v>
      </c>
      <c r="T22" s="65">
        <f t="shared" si="9"/>
        <v>1659.5068575935634</v>
      </c>
      <c r="W22" s="59"/>
    </row>
    <row r="23" spans="1:23">
      <c r="H23" s="14">
        <f t="shared" si="3"/>
        <v>2037</v>
      </c>
      <c r="I23" s="80">
        <f t="shared" si="10"/>
        <v>16642.303189805923</v>
      </c>
      <c r="J23" s="50">
        <f t="shared" si="4"/>
        <v>1146654.6897776278</v>
      </c>
      <c r="K23" s="50">
        <f>IF(H23=Year_Open_to_Traffic?,Calculations!$E$4,K22+(K22*M23))</f>
        <v>993767.39780727762</v>
      </c>
      <c r="L23" s="50">
        <f>IF(AND(H23&gt;=Year_Open_to_Traffic?, Calculations!H23&lt;Year_Open_to_Traffic?+'Inputs &amp; Outputs'!B$21), 1, 0)</f>
        <v>1</v>
      </c>
      <c r="M23" s="66">
        <f t="shared" si="11"/>
        <v>1.1427463688283401E-2</v>
      </c>
      <c r="N23" s="72">
        <f t="shared" si="12"/>
        <v>0.76614967267313927</v>
      </c>
      <c r="O23" s="73">
        <f t="shared" si="7"/>
        <v>1</v>
      </c>
      <c r="P23" s="69">
        <f t="shared" si="8"/>
        <v>152887.2919703502</v>
      </c>
      <c r="Q23" s="70">
        <f t="shared" si="0"/>
        <v>1</v>
      </c>
      <c r="R23" s="71">
        <f t="shared" si="1"/>
        <v>27.309342045347261</v>
      </c>
      <c r="S23" s="78">
        <f t="shared" si="2"/>
        <v>5803.5993776191826</v>
      </c>
      <c r="T23" s="65">
        <f t="shared" si="9"/>
        <v>1604.7435893682257</v>
      </c>
      <c r="W23" s="59"/>
    </row>
    <row r="24" spans="1:23">
      <c r="H24" s="49">
        <f t="shared" si="3"/>
        <v>2038</v>
      </c>
      <c r="I24" s="80">
        <f t="shared" si="10"/>
        <v>16832.482505196833</v>
      </c>
      <c r="J24" s="50">
        <f t="shared" si="4"/>
        <v>1159758.0446080614</v>
      </c>
      <c r="K24" s="50">
        <f>IF(H24=Year_Open_to_Traffic?,Calculations!$E$4,K23+(K23*M24))</f>
        <v>1005123.6386603202</v>
      </c>
      <c r="L24" s="50">
        <f>IF(AND(H24&gt;=Year_Open_to_Traffic?, Calculations!H24&lt;Year_Open_to_Traffic?+'Inputs &amp; Outputs'!B$21), 1, 0)</f>
        <v>1</v>
      </c>
      <c r="M24" s="66">
        <f t="shared" si="11"/>
        <v>1.1427463688283401E-2</v>
      </c>
      <c r="N24" s="72">
        <f t="shared" si="12"/>
        <v>0.77490482023740181</v>
      </c>
      <c r="O24" s="73">
        <f t="shared" si="7"/>
        <v>1</v>
      </c>
      <c r="P24" s="69">
        <f>(J24-K24)*L24</f>
        <v>154634.40594774124</v>
      </c>
      <c r="Q24" s="70">
        <f t="shared" si="0"/>
        <v>1</v>
      </c>
      <c r="R24" s="71">
        <f t="shared" si="1"/>
        <v>27.93745691239025</v>
      </c>
      <c r="S24" s="78">
        <f t="shared" si="2"/>
        <v>6004.9279541399346</v>
      </c>
      <c r="T24" s="65">
        <f t="shared" si="9"/>
        <v>1551.7874938779667</v>
      </c>
      <c r="W24" s="59"/>
    </row>
    <row r="25" spans="1:23">
      <c r="H25" s="14">
        <f t="shared" si="3"/>
        <v>2039</v>
      </c>
      <c r="I25" s="80">
        <f t="shared" si="10"/>
        <v>17024.835087808635</v>
      </c>
      <c r="J25" s="50">
        <f t="shared" si="4"/>
        <v>1173011.1375500145</v>
      </c>
      <c r="K25" s="50">
        <f>IF(H25=Year_Open_to_Traffic?,Calculations!$E$4,K24+(K24*M25))</f>
        <v>1016609.6525433463</v>
      </c>
      <c r="L25" s="50">
        <f>IF(AND(H25&gt;=Year_Open_to_Traffic?, Calculations!H25&lt;Year_Open_to_Traffic?+'Inputs &amp; Outputs'!B$21), 1, 0)</f>
        <v>1</v>
      </c>
      <c r="M25" s="66">
        <f t="shared" si="11"/>
        <v>1.1427463688283401E-2</v>
      </c>
      <c r="N25" s="72">
        <f t="shared" si="12"/>
        <v>0.78376001693254049</v>
      </c>
      <c r="O25" s="73">
        <f t="shared" si="7"/>
        <v>1</v>
      </c>
      <c r="P25" s="69">
        <f t="shared" si="8"/>
        <v>156401.48500666826</v>
      </c>
      <c r="Q25" s="70">
        <f t="shared" si="0"/>
        <v>1</v>
      </c>
      <c r="R25" s="71">
        <f t="shared" si="1"/>
        <v>28.580018421375218</v>
      </c>
      <c r="S25" s="78">
        <f t="shared" si="2"/>
        <v>6213.2406784432151</v>
      </c>
      <c r="T25" s="65">
        <f t="shared" si="9"/>
        <v>1500.5789349213651</v>
      </c>
      <c r="W25" s="59"/>
    </row>
    <row r="26" spans="1:23">
      <c r="H26" s="49">
        <f t="shared" si="3"/>
        <v>2040</v>
      </c>
      <c r="I26" s="80">
        <f t="shared" si="10"/>
        <v>17219.38577257358</v>
      </c>
      <c r="J26" s="50">
        <f t="shared" si="4"/>
        <v>1186415.6797303194</v>
      </c>
      <c r="K26" s="50">
        <f>IF(H26=Year_Open_to_Traffic?,Calculations!$E$4,K25+(K25*M26))</f>
        <v>1028226.9224329438</v>
      </c>
      <c r="L26" s="50">
        <f>IF(AND(H26&gt;=Year_Open_to_Traffic?, Calculations!H26&lt;Year_Open_to_Traffic?+'Inputs &amp; Outputs'!B$21), 1, 0)</f>
        <v>1</v>
      </c>
      <c r="M26" s="66">
        <f t="shared" si="11"/>
        <v>1.1427463688283401E-2</v>
      </c>
      <c r="N26" s="72">
        <f t="shared" si="12"/>
        <v>0.79271640606636551</v>
      </c>
      <c r="O26" s="73">
        <f t="shared" si="7"/>
        <v>1</v>
      </c>
      <c r="P26" s="69">
        <f t="shared" si="8"/>
        <v>158188.75729737559</v>
      </c>
      <c r="Q26" s="70">
        <f t="shared" si="0"/>
        <v>1</v>
      </c>
      <c r="R26" s="71">
        <f t="shared" si="1"/>
        <v>29.237358845066851</v>
      </c>
      <c r="S26" s="78">
        <f t="shared" si="2"/>
        <v>6428.7798326783941</v>
      </c>
      <c r="T26" s="65">
        <f t="shared" si="9"/>
        <v>1451.0602442751858</v>
      </c>
      <c r="W26" s="59"/>
    </row>
    <row r="27" spans="1:23">
      <c r="H27" s="14">
        <f t="shared" si="3"/>
        <v>2041</v>
      </c>
      <c r="I27" s="80">
        <f t="shared" si="10"/>
        <v>17416.159678224209</v>
      </c>
      <c r="J27" s="50">
        <f t="shared" si="4"/>
        <v>1199973.4018296476</v>
      </c>
      <c r="K27" s="50">
        <f>IF(H27=Year_Open_to_Traffic?,Calculations!$E$4,K26+(K26*M27))</f>
        <v>1039976.9482523617</v>
      </c>
      <c r="L27" s="50">
        <f>IF(AND(H27&gt;=Year_Open_to_Traffic?, Calculations!H27&lt;Year_Open_to_Traffic?+'Inputs &amp; Outputs'!B$21), 1, 0)</f>
        <v>1</v>
      </c>
      <c r="M27" s="66">
        <f t="shared" si="11"/>
        <v>1.1427463688283401E-2</v>
      </c>
      <c r="N27" s="72">
        <f t="shared" si="12"/>
        <v>0.80177514401179539</v>
      </c>
      <c r="O27" s="73">
        <f t="shared" si="7"/>
        <v>1</v>
      </c>
      <c r="P27" s="69">
        <f t="shared" si="8"/>
        <v>159996.45357728587</v>
      </c>
      <c r="Q27" s="70">
        <f t="shared" si="0"/>
        <v>1</v>
      </c>
      <c r="R27" s="71">
        <f t="shared" si="1"/>
        <v>29.909818098503379</v>
      </c>
      <c r="S27" s="78">
        <f t="shared" si="2"/>
        <v>6651.7961038341418</v>
      </c>
      <c r="T27" s="65">
        <f t="shared" si="9"/>
        <v>1403.1756567516372</v>
      </c>
      <c r="W27" s="59"/>
    </row>
    <row r="28" spans="1:23">
      <c r="H28" s="49">
        <f t="shared" si="3"/>
        <v>2042</v>
      </c>
      <c r="I28" s="80">
        <f t="shared" si="10"/>
        <v>17615.182210536463</v>
      </c>
      <c r="J28" s="50">
        <f t="shared" si="4"/>
        <v>1213686.0543059618</v>
      </c>
      <c r="K28" s="50">
        <f>IF(H28=Year_Open_to_Traffic?,Calculations!$E$4,K27+(K27*M28))</f>
        <v>1051861.2470651674</v>
      </c>
      <c r="L28" s="50">
        <f>IF(AND(H28&gt;=Year_Open_to_Traffic?, Calculations!H28&lt;Year_Open_to_Traffic?+'Inputs &amp; Outputs'!B$21), 1, 0)</f>
        <v>1</v>
      </c>
      <c r="M28" s="66">
        <f t="shared" si="11"/>
        <v>1.1427463688283401E-2</v>
      </c>
      <c r="N28" s="72">
        <f t="shared" si="12"/>
        <v>0.81093740035615836</v>
      </c>
      <c r="O28" s="73">
        <f t="shared" si="7"/>
        <v>1</v>
      </c>
      <c r="P28" s="69">
        <f t="shared" si="8"/>
        <v>161824.80724079441</v>
      </c>
      <c r="Q28" s="70">
        <f t="shared" si="0"/>
        <v>1</v>
      </c>
      <c r="R28" s="71">
        <f t="shared" si="1"/>
        <v>30.597743914768959</v>
      </c>
      <c r="S28" s="78">
        <f t="shared" si="2"/>
        <v>6882.5488753048403</v>
      </c>
      <c r="T28" s="65">
        <f t="shared" si="9"/>
        <v>1356.8712473987391</v>
      </c>
      <c r="W28" s="59"/>
    </row>
    <row r="29" spans="1:23">
      <c r="H29" s="14">
        <f t="shared" si="3"/>
        <v>2043</v>
      </c>
      <c r="I29" s="80">
        <f t="shared" si="10"/>
        <v>17816.479065609863</v>
      </c>
      <c r="J29" s="50">
        <f t="shared" si="4"/>
        <v>1227555.4076205192</v>
      </c>
      <c r="K29" s="50">
        <f>IF(H29=Year_Open_to_Traffic?,Calculations!$E$4,K28+(K28*M29))</f>
        <v>1063881.3532711172</v>
      </c>
      <c r="L29" s="50">
        <f>IF(AND(H29&gt;=Year_Open_to_Traffic?, Calculations!H29&lt;Year_Open_to_Traffic?+'Inputs &amp; Outputs'!B$21), 1, 0)</f>
        <v>1</v>
      </c>
      <c r="M29" s="66">
        <f t="shared" si="11"/>
        <v>1.1427463688283401E-2</v>
      </c>
      <c r="N29" s="72">
        <f t="shared" si="12"/>
        <v>0.82020435805219927</v>
      </c>
      <c r="O29" s="73">
        <f t="shared" si="7"/>
        <v>1</v>
      </c>
      <c r="P29" s="69">
        <f t="shared" si="8"/>
        <v>163674.05434940197</v>
      </c>
      <c r="Q29" s="70">
        <f t="shared" si="0"/>
        <v>1</v>
      </c>
      <c r="R29" s="71">
        <f t="shared" si="1"/>
        <v>31.301492024808638</v>
      </c>
      <c r="S29" s="78">
        <f t="shared" si="2"/>
        <v>7121.3065285714029</v>
      </c>
      <c r="T29" s="65">
        <f t="shared" si="9"/>
        <v>1312.0948707730361</v>
      </c>
      <c r="W29" s="59"/>
    </row>
    <row r="30" spans="1:23">
      <c r="H30" s="14">
        <f t="shared" si="3"/>
        <v>2044</v>
      </c>
      <c r="I30" s="80">
        <f t="shared" si="10"/>
        <v>18020.07623318518</v>
      </c>
      <c r="J30" s="50">
        <f t="shared" si="4"/>
        <v>1241583.2524664586</v>
      </c>
      <c r="K30" s="50">
        <f>IF(H30=Year_Open_to_Traffic?,Calculations!$E$4,K29+(K29*M30))</f>
        <v>1076038.8188042648</v>
      </c>
      <c r="L30" s="50">
        <f>IF(AND(H30&gt;=Year_Open_to_Traffic?, Calculations!H30&lt;Year_Open_to_Traffic?+'Inputs &amp; Outputs'!B$21), 1, 0)</f>
        <v>0</v>
      </c>
      <c r="M30" s="66">
        <f t="shared" si="11"/>
        <v>1.1427463688283401E-2</v>
      </c>
      <c r="N30" s="72">
        <f t="shared" si="12"/>
        <v>0.8295772135708126</v>
      </c>
      <c r="O30" s="73">
        <f t="shared" si="7"/>
        <v>1</v>
      </c>
      <c r="P30" s="69">
        <f t="shared" si="8"/>
        <v>0</v>
      </c>
      <c r="Q30" s="70">
        <f t="shared" si="0"/>
        <v>0</v>
      </c>
      <c r="R30" s="71">
        <f t="shared" si="1"/>
        <v>32.021426341379232</v>
      </c>
      <c r="S30" s="78">
        <f t="shared" si="2"/>
        <v>0</v>
      </c>
      <c r="T30" s="65">
        <f t="shared" si="9"/>
        <v>0</v>
      </c>
      <c r="W30" s="59"/>
    </row>
    <row r="31" spans="1:23">
      <c r="H31" s="14">
        <f t="shared" si="3"/>
        <v>2045</v>
      </c>
      <c r="I31" s="80">
        <f t="shared" si="10"/>
        <v>18226.000000000004</v>
      </c>
      <c r="J31" s="50">
        <f t="shared" si="4"/>
        <v>1255771.3999999999</v>
      </c>
      <c r="K31" s="50">
        <f>IF(H31=Year_Open_to_Traffic?,Calculations!$E$4,K30+(K30*M31))</f>
        <v>1088335.2133333338</v>
      </c>
      <c r="L31" s="50">
        <f>IF(AND(H31&gt;=Year_Open_to_Traffic?, Calculations!H31&lt;Year_Open_to_Traffic?+'Inputs &amp; Outputs'!B$21), 1, 0)</f>
        <v>0</v>
      </c>
      <c r="M31" s="66">
        <f t="shared" si="11"/>
        <v>1.1427463688283401E-2</v>
      </c>
      <c r="N31" s="72">
        <f t="shared" si="12"/>
        <v>0.83905717705552041</v>
      </c>
      <c r="O31" s="73">
        <f t="shared" si="7"/>
        <v>1</v>
      </c>
      <c r="P31" s="69">
        <f t="shared" si="8"/>
        <v>0</v>
      </c>
      <c r="Q31" s="70">
        <f t="shared" si="0"/>
        <v>0</v>
      </c>
      <c r="R31" s="71">
        <f t="shared" si="1"/>
        <v>32.757919147230957</v>
      </c>
      <c r="S31" s="78">
        <f t="shared" si="2"/>
        <v>0</v>
      </c>
      <c r="T31" s="65">
        <f t="shared" si="9"/>
        <v>0</v>
      </c>
      <c r="W31" s="59"/>
    </row>
    <row r="32" spans="1:23">
      <c r="H32" s="14">
        <f t="shared" si="3"/>
        <v>2046</v>
      </c>
      <c r="I32" s="80">
        <f t="shared" si="10"/>
        <v>18434.276953182656</v>
      </c>
      <c r="J32" s="50">
        <f t="shared" si="4"/>
        <v>1270121.6820742846</v>
      </c>
      <c r="K32" s="50">
        <f>IF(H32=Year_Open_to_Traffic?,Calculations!$E$4,K31+(K31*M32))</f>
        <v>1100772.1244643808</v>
      </c>
      <c r="L32" s="50">
        <f>IF(AND(H32&gt;=Year_Open_to_Traffic?, Calculations!H32&lt;Year_Open_to_Traffic?+'Inputs &amp; Outputs'!B$21), 1, 0)</f>
        <v>0</v>
      </c>
      <c r="M32" s="66">
        <f t="shared" si="11"/>
        <v>1.1427463688283401E-2</v>
      </c>
      <c r="N32" s="72">
        <f t="shared" si="12"/>
        <v>0.84864547247871591</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18644.93398368491</v>
      </c>
      <c r="J33" s="50">
        <f t="shared" si="4"/>
        <v>1284635.9514758899</v>
      </c>
      <c r="K33" s="50">
        <f>IF(H33=Year_Open_to_Traffic?,Calculations!$E$4,K32+(K32*M33))</f>
        <v>1113351.1579457722</v>
      </c>
      <c r="L33" s="50">
        <f>IF(AND(H33&gt;=Year_Open_to_Traffic?, Calculations!H33&lt;Year_Open_to_Traffic?+'Inputs &amp; Outputs'!B$21), 1, 0)</f>
        <v>0</v>
      </c>
      <c r="M33" s="66">
        <f t="shared" si="11"/>
        <v>1.1427463688283401E-2</v>
      </c>
      <c r="N33" s="72">
        <f t="shared" si="12"/>
        <v>0.85834333779969252</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18857.998289753912</v>
      </c>
      <c r="J34" s="50">
        <f t="shared" si="4"/>
        <v>1299316.082164044</v>
      </c>
      <c r="K34" s="50">
        <f>IF(H34=Year_Open_to_Traffic?,Calculations!$E$4,K33+(K33*M34))</f>
        <v>1126073.9378755058</v>
      </c>
      <c r="L34" s="50">
        <f>IF(AND(H34&gt;=Year_Open_to_Traffic?, Calculations!H34&lt;Year_Open_to_Traffic?+'Inputs &amp; Outputs'!B$21), 1, 0)</f>
        <v>0</v>
      </c>
      <c r="M34" s="66">
        <f t="shared" si="11"/>
        <v>1.1427463688283401E-2</v>
      </c>
      <c r="N34" s="72">
        <f t="shared" si="12"/>
        <v>0.86815202512447853</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19073.497380443787</v>
      </c>
      <c r="J35" s="50">
        <f t="shared" si="4"/>
        <v>1314163.9695125762</v>
      </c>
      <c r="K35" s="50">
        <f>IF(H35=Year_Open_to_Traffic?,Calculations!$E$4,K34+(K34*M35))</f>
        <v>1138942.1069109004</v>
      </c>
      <c r="L35" s="50">
        <f>IF(AND(H35&gt;=Year_Open_to_Traffic?, Calculations!H35&lt;Year_Open_to_Traffic?+'Inputs &amp; Outputs'!B$21), 1, 0)</f>
        <v>0</v>
      </c>
      <c r="M35" s="66">
        <f t="shared" si="11"/>
        <v>1.1427463688283401E-2</v>
      </c>
      <c r="N35" s="72">
        <f t="shared" si="12"/>
        <v>0.87807280086749817</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19291.459079167376</v>
      </c>
      <c r="J36" s="50">
        <f t="shared" si="4"/>
        <v>1329181.5305546315</v>
      </c>
      <c r="K36" s="50">
        <f>IF(H36=Year_Open_to_Traffic?,Calculations!$E$4,K35+(K35*M36))</f>
        <v>1151957.3264806818</v>
      </c>
      <c r="L36" s="50">
        <f>IF(AND(H36&gt;=Year_Open_to_Traffic?, Calculations!H36&lt;Year_Open_to_Traffic?+'Inputs &amp; Outputs'!B$21), 1, 0)</f>
        <v>0</v>
      </c>
      <c r="M36" s="66">
        <f t="shared" si="11"/>
        <v>1.1427463688283401E-2</v>
      </c>
      <c r="N36" s="72">
        <f t="shared" si="12"/>
        <v>0.88810694591508077</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36688.017600146872</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123</v>
      </c>
    </row>
    <row r="6" spans="2:14">
      <c r="B6" s="74" t="s">
        <v>73</v>
      </c>
      <c r="C6" s="82">
        <v>0.3</v>
      </c>
      <c r="D6" s="75">
        <v>0.2</v>
      </c>
      <c r="E6" s="75">
        <v>0.1</v>
      </c>
      <c r="F6" s="75">
        <v>0.3</v>
      </c>
      <c r="G6" s="92">
        <v>0.2</v>
      </c>
      <c r="H6" s="94"/>
      <c r="L6" s="44" t="s">
        <v>158</v>
      </c>
      <c r="N6" s="44" t="s">
        <v>55</v>
      </c>
    </row>
    <row r="7" spans="2:14">
      <c r="B7" s="74" t="s">
        <v>159</v>
      </c>
      <c r="C7" s="82">
        <v>0.3</v>
      </c>
      <c r="D7" s="75">
        <v>0.2</v>
      </c>
      <c r="E7" s="75">
        <v>0.15</v>
      </c>
      <c r="F7" s="75">
        <v>0.3</v>
      </c>
      <c r="G7" s="92">
        <v>0.25</v>
      </c>
      <c r="H7" s="94"/>
      <c r="L7" s="44" t="s">
        <v>160</v>
      </c>
    </row>
    <row r="8" spans="2:14">
      <c r="B8" s="74" t="s">
        <v>161</v>
      </c>
      <c r="C8" s="82">
        <v>0.2</v>
      </c>
      <c r="D8" s="75">
        <v>0.02</v>
      </c>
      <c r="E8" s="75">
        <v>0.02</v>
      </c>
      <c r="F8" s="75">
        <v>0.2</v>
      </c>
      <c r="G8" s="92">
        <v>0.15</v>
      </c>
      <c r="H8" s="94"/>
      <c r="L8" s="44" t="s">
        <v>162</v>
      </c>
    </row>
    <row r="9" spans="2:14">
      <c r="B9" s="74" t="s">
        <v>163</v>
      </c>
      <c r="C9" s="82">
        <v>0.2</v>
      </c>
      <c r="D9" s="75">
        <v>0.02</v>
      </c>
      <c r="E9" s="75">
        <v>0.02</v>
      </c>
      <c r="F9" s="75">
        <v>0.2</v>
      </c>
      <c r="G9" s="92">
        <v>0.15</v>
      </c>
      <c r="H9" s="94"/>
      <c r="L9" s="44" t="s">
        <v>52</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C8A8D1-6553-41ED-A22C-20AAC43BB857}"/>
</file>

<file path=customXml/itemProps2.xml><?xml version="1.0" encoding="utf-8"?>
<ds:datastoreItem xmlns:ds="http://schemas.openxmlformats.org/officeDocument/2006/customXml" ds:itemID="{058590AA-62A0-4968-A78B-6D787150682A}"/>
</file>

<file path=customXml/itemProps3.xml><?xml version="1.0" encoding="utf-8"?>
<ds:datastoreItem xmlns:ds="http://schemas.openxmlformats.org/officeDocument/2006/customXml" ds:itemID="{A6640E85-5EB4-4097-949F-B5ACD02657E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