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City_of_Mont_Belvieu\6228-00_HGAC_TIP_Application_Support\04_ENGR\03_Documents\TMC\TIP Application Package\"/>
    </mc:Choice>
  </mc:AlternateContent>
  <xr:revisionPtr revIDLastSave="0" documentId="13_ncr:1_{4106981B-B541-4DD9-9985-E2EF629399E7}" xr6:coauthVersionLast="36" xr6:coauthVersionMax="36"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<sst xmlns="http://schemas.openxmlformats.org/spreadsheetml/2006/main" count="263" uniqueCount="131">
  <si>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</si>
  <si>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</si>
  <si>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</si>
  <si>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</si>
  <si>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</si>
  <si>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</si>
  <si>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</si>
  <si>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</si>
  <si>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</si>
  <si>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</si>
  <si>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</si>
  <si>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</si>
  <si>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</si>
  <si>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</si>
  <si>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</si>
  <si>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</si>
  <si>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</si>
  <si>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</si>
  <si>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</si>
  <si>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</si>
  <si>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</si>
  <si>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</si>
  <si>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</si>
  <si>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</si>
  <si>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</si>
  <si>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</si>
  <si>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</si>
  <si>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</si>
  <si>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</si>
  <si>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</si>
  <si>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</si>
  <si>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</si>
  <si>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</si>
  <si>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</si>
  <si>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</si>
  <si>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</si>
  <si>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</si>
  <si>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</si>
  <si>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</si>
  <si>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</si>
  <si>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</si>
  <si>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</si>
  <si>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</si>
  <si>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</si>
  <si>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</si>
  <si>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</si>
  <si>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</si>
  <si>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</si>
  <si>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</si>
  <si>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</si>
  <si>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</si>
  <si>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</si>
  <si>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</si>
  <si>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</si>
  <si>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</si>
  <si>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</si>
  <si>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</si>
  <si>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</si>
  <si>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</si>
  <si>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</si>
  <si>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</si>
  <si>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</si>
  <si>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</si>
  <si>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</si>
  <si>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</si>
  <si>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</si>
  <si>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</si>
  <si>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</si>
  <si>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</si>
  <si>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</si>
  <si>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</si>
  <si>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</si>
  <si>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</si>
  <si>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</si>
  <si>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</si>
  <si>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</si>
  <si>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</si>
  <si>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</si>
  <si>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</si>
  <si>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</si>
  <si>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</si>
  <si>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</si>
  <si>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</si>
  <si>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</si>
  <si>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</si>
  <si>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</si>
  <si>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</si>
  <si>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</si>
  <si>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</si>
  <si>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</si>
  <si>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</si>
  <si>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</si>
  <si>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</si>
  <si>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</si>
  <si>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</si>
  <si>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</si>
  <si>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</si>
  <si>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</si>
  <si>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</si>
  <si>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</si>
  <si>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</si>
  <si>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</si>
  <si>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</si>
  <si>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</si>
  <si>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</si>
  <si>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</si>
  <si>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</si>
  <si>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</si>
  <si>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</si>
  <si>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</si>
  <si>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</si>
  <si>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</si>
  <si>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</si>
  <si>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</si>
  <si>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</si>
  <si>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</si>
  <si>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</si>
  <si>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</si>
  <si>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</si>
  <si>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</si>
  <si>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</si>
  <si>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</si>
  <si>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</si>
  <si>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</si>
  <si>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</si>
  <si>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</si>
  <si>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</si>
  <si>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</si>
  <si>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</si>
  <si>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Roadway Emissions</t>
  </si>
  <si>
    <t>Traffic Management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</si>
</sst>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rowngay.net\gfs\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2:I40"/>
  <sheetViews>
    <sheetView tabSelected="1" topLeftCell="A10" zoomScaleNormal="100" workbookViewId="0">
      <selection activeCell="H28" sqref="H28"/>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2" spans="1:5" x14ac:dyDescent="0.25">
      <c r="A2" s="99" t="s">
        <v>129</v>
      </c>
    </row>
    <row r="3" spans="1:5" ht="18.75" x14ac:dyDescent="0.3">
      <c r="A3" s="100" t="s">
        <v>54</v>
      </c>
      <c r="B3" s="101"/>
      <c r="C3" s="101"/>
    </row>
    <row r="5" spans="1:5" ht="30" customHeight="1" x14ac:dyDescent="0.25">
      <c r="A5" s="102" t="s">
        <v>3</v>
      </c>
    </row>
    <row r="6" spans="1:5" x14ac:dyDescent="0.25">
      <c r="A6" s="6" t="s">
        <v>8</v>
      </c>
      <c r="B6" s="6" t="s">
        <v>130</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68</v>
      </c>
      <c r="D9" s="105"/>
      <c r="E9" s="99" t="s">
        <v>93</v>
      </c>
    </row>
    <row r="11" spans="1:5" x14ac:dyDescent="0.25">
      <c r="A11" s="63"/>
      <c r="B11" s="63"/>
    </row>
    <row r="12" spans="1:5" x14ac:dyDescent="0.25">
      <c r="A12" s="102" t="s">
        <v>85</v>
      </c>
      <c r="B12" s="63"/>
    </row>
    <row r="13" spans="1:5" x14ac:dyDescent="0.25">
      <c r="A13" s="6" t="s">
        <v>56</v>
      </c>
      <c r="B13" s="45">
        <v>2021</v>
      </c>
    </row>
    <row r="14" spans="1:5" x14ac:dyDescent="0.25">
      <c r="A14" s="6" t="s">
        <v>86</v>
      </c>
      <c r="B14" s="6" t="s">
        <v>123</v>
      </c>
    </row>
    <row r="15" spans="1:5" x14ac:dyDescent="0.25">
      <c r="A15" s="106" t="s">
        <v>87</v>
      </c>
      <c r="B15" s="57" t="s">
        <v>76</v>
      </c>
    </row>
    <row r="16" spans="1:5" x14ac:dyDescent="0.25">
      <c r="A16" s="106" t="s">
        <v>88</v>
      </c>
      <c r="B16" s="57">
        <v>5</v>
      </c>
    </row>
    <row r="17" spans="1:3" x14ac:dyDescent="0.25">
      <c r="A17" s="107" t="s">
        <v>95</v>
      </c>
      <c r="B17" s="57">
        <v>56</v>
      </c>
    </row>
    <row r="18" spans="1:3" x14ac:dyDescent="0.25">
      <c r="A18" s="107" t="s">
        <v>96</v>
      </c>
      <c r="B18" s="57">
        <v>59</v>
      </c>
    </row>
    <row r="19" spans="1:3" x14ac:dyDescent="0.25">
      <c r="A19" s="96" t="s">
        <v>97</v>
      </c>
      <c r="B19" s="97">
        <f>VLOOKUP(B14,'Service Life'!C6:D8,2,FALSE)</f>
        <v>12</v>
      </c>
    </row>
    <row r="21" spans="1:3" x14ac:dyDescent="0.25">
      <c r="A21" s="102" t="s">
        <v>89</v>
      </c>
    </row>
    <row r="22" spans="1:3" ht="20.25" customHeight="1" x14ac:dyDescent="0.25">
      <c r="A22" s="107" t="s">
        <v>90</v>
      </c>
      <c r="B22" s="119">
        <v>23783</v>
      </c>
    </row>
    <row r="23" spans="1:3" ht="30" x14ac:dyDescent="0.25">
      <c r="A23" s="118" t="s">
        <v>101</v>
      </c>
      <c r="B23" s="120">
        <v>13024</v>
      </c>
    </row>
    <row r="24" spans="1:3" ht="30" x14ac:dyDescent="0.25">
      <c r="A24" s="118" t="s">
        <v>102</v>
      </c>
      <c r="B24" s="120">
        <v>29032</v>
      </c>
    </row>
    <row r="27" spans="1:3" ht="18.75" x14ac:dyDescent="0.3">
      <c r="A27" s="100" t="s">
        <v>55</v>
      </c>
      <c r="B27" s="101"/>
    </row>
    <row r="29" spans="1:3" x14ac:dyDescent="0.25">
      <c r="A29" s="108" t="s">
        <v>53</v>
      </c>
    </row>
    <row r="30" spans="1:3" x14ac:dyDescent="0.25">
      <c r="A30" s="105" t="s">
        <v>112</v>
      </c>
      <c r="B30" s="114">
        <f>'Benefit Calculations'!M37</f>
        <v>-3524.8354437231651</v>
      </c>
    </row>
    <row r="31" spans="1:3" x14ac:dyDescent="0.25">
      <c r="A31" s="105" t="s">
        <v>113</v>
      </c>
      <c r="B31" s="114">
        <f>'Benefit Calculations'!Q37</f>
        <v>95.966990239136535</v>
      </c>
      <c r="C31" s="109"/>
    </row>
    <row r="32" spans="1:3" x14ac:dyDescent="0.25">
      <c r="A32" s="110"/>
      <c r="B32" s="111"/>
      <c r="C32" s="109"/>
    </row>
    <row r="33" spans="1:9" x14ac:dyDescent="0.25">
      <c r="A33" s="108" t="s">
        <v>94</v>
      </c>
      <c r="B33" s="111"/>
      <c r="C33" s="109"/>
    </row>
    <row r="34" spans="1:9" x14ac:dyDescent="0.25">
      <c r="A34" s="105" t="s">
        <v>114</v>
      </c>
      <c r="B34" s="114">
        <f>$B$30+$B$31</f>
        <v>-3428.8684534840286</v>
      </c>
      <c r="C34" s="109"/>
    </row>
    <row r="35" spans="1:9" x14ac:dyDescent="0.25">
      <c r="I35" s="112"/>
    </row>
    <row r="36" spans="1:9" x14ac:dyDescent="0.25">
      <c r="A36" s="108" t="s">
        <v>107</v>
      </c>
    </row>
    <row r="37" spans="1:9" x14ac:dyDescent="0.25">
      <c r="A37" s="105" t="s">
        <v>116</v>
      </c>
      <c r="B37" s="115">
        <f>'Benefit Calculations'!K37</f>
        <v>-0.80644037871576735</v>
      </c>
    </row>
    <row r="38" spans="1:9" x14ac:dyDescent="0.25">
      <c r="A38" s="105" t="s">
        <v>117</v>
      </c>
      <c r="B38" s="115">
        <f>'Benefit Calculations'!O37</f>
        <v>-8.6533561089032818E-2</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83"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7.1912899613399903E-2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1.35359000415E-2</v>
      </c>
      <c r="F4" s="70">
        <v>2018</v>
      </c>
      <c r="G4" s="80">
        <f>'Inputs &amp; Outputs'!B22</f>
        <v>23783</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7.5008802115899997E-2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1.38681000098999E-2</v>
      </c>
      <c r="F5" s="70">
        <f t="shared" ref="F5:F36" si="2">F4+1</f>
        <v>2019</v>
      </c>
      <c r="G5" s="80">
        <f>G4+G4*H5</f>
        <v>21822.591075788918</v>
      </c>
      <c r="H5" s="79">
        <f>$C$9</f>
        <v>-8.2429000723671653E-2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20023.776700210321</v>
      </c>
      <c r="H6" s="79">
        <f t="shared" ref="H6:H11" si="7">$C$9</f>
        <v>-8.2429000723671653E-2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18373.236796098045</v>
      </c>
      <c r="H7" s="79">
        <f t="shared" si="7"/>
        <v>-8.2429000723671653E-2</v>
      </c>
      <c r="I7" s="70">
        <f>IF(AND(F7&gt;='Inputs &amp; Outputs'!B$13,F7&lt;'Inputs &amp; Outputs'!B$13+'Inputs &amp; Outputs'!B$19),1,0)</f>
        <v>1</v>
      </c>
      <c r="J7" s="71">
        <f>I7*'Inputs &amp; Outputs'!B$16*'Benefit Calculations'!G7*('Benefit Calculations'!C$4-'Benefit Calculations'!C$5)</f>
        <v>-284.4087488803338</v>
      </c>
      <c r="K7" s="89">
        <f t="shared" si="3"/>
        <v>-8.1511881502414937E-2</v>
      </c>
      <c r="L7" s="72">
        <f>K7*'Assumed Values'!$C$8</f>
        <v>-611.99120632013137</v>
      </c>
      <c r="M7" s="73">
        <f t="shared" si="0"/>
        <v>-499.56712239499456</v>
      </c>
      <c r="N7" s="88">
        <f>I7*'Inputs &amp; Outputs'!B$16*'Benefit Calculations'!G7*('Benefit Calculations'!D$4-'Benefit Calculations'!D$5)</f>
        <v>-30.517943415338273</v>
      </c>
      <c r="O7" s="89">
        <f t="shared" si="4"/>
        <v>-8.74647842994139E-3</v>
      </c>
      <c r="P7" s="72">
        <f>ABS(O7*'Assumed Values'!$C$7)</f>
        <v>16.662041409038348</v>
      </c>
      <c r="Q7" s="73">
        <f t="shared" si="1"/>
        <v>13.601189026865462</v>
      </c>
      <c r="T7" s="85">
        <f t="shared" si="5"/>
        <v>-7.3946274708886789E-2</v>
      </c>
      <c r="U7" s="86">
        <f>T7*'Assumed Values'!$D$8</f>
        <v>0</v>
      </c>
    </row>
    <row r="8" spans="2:21" x14ac:dyDescent="0.25">
      <c r="B8" s="15" t="s">
        <v>17</v>
      </c>
      <c r="F8" s="70">
        <f t="shared" si="2"/>
        <v>2022</v>
      </c>
      <c r="G8" s="80">
        <f t="shared" si="6"/>
        <v>16858.749246936288</v>
      </c>
      <c r="H8" s="79">
        <f t="shared" si="7"/>
        <v>-8.2429000723671653E-2</v>
      </c>
      <c r="I8" s="70">
        <f>IF(AND(F8&gt;='Inputs &amp; Outputs'!B$13,F8&lt;'Inputs &amp; Outputs'!B$13+'Inputs &amp; Outputs'!B$19),1,0)</f>
        <v>1</v>
      </c>
      <c r="J8" s="71">
        <f>I8*'Inputs &amp; Outputs'!B$16*'Benefit Calculations'!G8*('Benefit Calculations'!C$4-'Benefit Calculations'!C$5)</f>
        <v>-260.96521991305821</v>
      </c>
      <c r="K8" s="89">
        <f t="shared" si="3"/>
        <v>-7.4792938563064529E-2</v>
      </c>
      <c r="L8" s="72">
        <f>K8*'Assumed Values'!$C$8</f>
        <v>-561.54538273148853</v>
      </c>
      <c r="M8" s="73">
        <f t="shared" si="0"/>
        <v>-428.40028383324767</v>
      </c>
      <c r="N8" s="88">
        <f>I8*'Inputs &amp; Outputs'!B$16*'Benefit Calculations'!G8*('Benefit Calculations'!D$4-'Benefit Calculations'!D$5)</f>
        <v>-28.002379835470386</v>
      </c>
      <c r="O8" s="89">
        <f t="shared" si="4"/>
        <v>-8.0255149531101751E-3</v>
      </c>
      <c r="P8" s="72">
        <f>ABS(O8*'Assumed Values'!$C$7)</f>
        <v>15.288605985674884</v>
      </c>
      <c r="Q8" s="73">
        <f t="shared" si="1"/>
        <v>11.663604305352504</v>
      </c>
      <c r="T8" s="85">
        <f t="shared" si="5"/>
        <v>-6.785095717739513E-2</v>
      </c>
      <c r="U8" s="86">
        <f>T8*'Assumed Values'!$D$8</f>
        <v>0</v>
      </c>
    </row>
    <row r="9" spans="2:21" x14ac:dyDescent="0.25">
      <c r="B9" s="16" t="s">
        <v>104</v>
      </c>
      <c r="C9" s="67">
        <f>('Inputs &amp; Outputs'!B23/'Inputs &amp; Outputs'!B22)^(1/(2025-2018))-1</f>
        <v>-8.2429000723671653E-2</v>
      </c>
      <c r="F9" s="70">
        <f t="shared" si="2"/>
        <v>2023</v>
      </c>
      <c r="G9" s="80">
        <f t="shared" si="6"/>
        <v>15469.099393060378</v>
      </c>
      <c r="H9" s="79">
        <f t="shared" si="7"/>
        <v>-8.2429000723671653E-2</v>
      </c>
      <c r="I9" s="70">
        <f>IF(AND(F9&gt;='Inputs &amp; Outputs'!B$13,F9&lt;'Inputs &amp; Outputs'!B$13+'Inputs &amp; Outputs'!B$19),1,0)</f>
        <v>1</v>
      </c>
      <c r="J9" s="71">
        <f>I9*'Inputs &amp; Outputs'!B$16*'Benefit Calculations'!G9*('Benefit Calculations'!C$4-'Benefit Calculations'!C$5)</f>
        <v>-239.45411761199162</v>
      </c>
      <c r="K9" s="89">
        <f t="shared" si="3"/>
        <v>-6.862783137612416E-2</v>
      </c>
      <c r="L9" s="72">
        <f>K9*'Assumed Values'!$C$8</f>
        <v>-515.25775797194024</v>
      </c>
      <c r="M9" s="73">
        <f t="shared" si="0"/>
        <v>-367.37166030573434</v>
      </c>
      <c r="N9" s="88">
        <f>I9*'Inputs &amp; Outputs'!B$16*'Benefit Calculations'!G9*('Benefit Calculations'!D$4-'Benefit Calculations'!D$5)</f>
        <v>-25.694171647747869</v>
      </c>
      <c r="O9" s="89">
        <f t="shared" si="4"/>
        <v>-7.3639797752324179E-3</v>
      </c>
      <c r="P9" s="72">
        <f>ABS(O9*'Assumed Values'!$C$7)</f>
        <v>14.028381471817756</v>
      </c>
      <c r="Q9" s="73">
        <f t="shared" si="1"/>
        <v>10.002042109930823</v>
      </c>
      <c r="T9" s="85">
        <f t="shared" si="5"/>
        <v>-6.2258070579117822E-2</v>
      </c>
      <c r="U9" s="86">
        <f>T9*'Assumed Values'!$D$8</f>
        <v>0</v>
      </c>
    </row>
    <row r="10" spans="2:21" x14ac:dyDescent="0.25">
      <c r="B10" s="16" t="s">
        <v>105</v>
      </c>
      <c r="C10" s="67">
        <f>('Inputs &amp; Outputs'!B24/'Inputs &amp; Outputs'!B23)^(1/(2045-2020))-1</f>
        <v>3.2583789301239285E-2</v>
      </c>
      <c r="F10" s="70">
        <f t="shared" si="2"/>
        <v>2024</v>
      </c>
      <c r="G10" s="80">
        <f t="shared" si="6"/>
        <v>14193.996987995255</v>
      </c>
      <c r="H10" s="79">
        <f t="shared" si="7"/>
        <v>-8.2429000723671653E-2</v>
      </c>
      <c r="I10" s="70">
        <f>IF(AND(F10&gt;='Inputs &amp; Outputs'!B$13,F10&lt;'Inputs &amp; Outputs'!B$13+'Inputs &amp; Outputs'!B$19),1,0)</f>
        <v>1</v>
      </c>
      <c r="J10" s="71">
        <f>I10*'Inputs &amp; Outputs'!B$16*'Benefit Calculations'!G10*('Benefit Calculations'!C$4-'Benefit Calculations'!C$5)</f>
        <v>-219.71615397806659</v>
      </c>
      <c r="K10" s="89">
        <f t="shared" si="3"/>
        <v>-6.2970907813957602E-2</v>
      </c>
      <c r="L10" s="72">
        <f>K10*'Assumed Values'!$C$8</f>
        <v>-472.7855758671937</v>
      </c>
      <c r="M10" s="73">
        <f t="shared" si="0"/>
        <v>-315.03699201171634</v>
      </c>
      <c r="N10" s="88">
        <f>I10*'Inputs &amp; Outputs'!B$16*'Benefit Calculations'!G10*('Benefit Calculations'!D$4-'Benefit Calculations'!D$5)</f>
        <v>-23.576226754401514</v>
      </c>
      <c r="O10" s="89">
        <f t="shared" si="4"/>
        <v>-6.7569742810106807E-3</v>
      </c>
      <c r="P10" s="72">
        <f>ABS(O10*'Assumed Values'!$C$7)</f>
        <v>12.872036005325347</v>
      </c>
      <c r="Q10" s="73">
        <f t="shared" si="1"/>
        <v>8.5771810968347104</v>
      </c>
      <c r="T10" s="85">
        <f t="shared" si="5"/>
        <v>-5.712620003429731E-2</v>
      </c>
      <c r="U10" s="86">
        <f>T10*'Assumed Values'!$D$8</f>
        <v>0</v>
      </c>
    </row>
    <row r="11" spans="2:21" x14ac:dyDescent="0.25">
      <c r="B11" s="16" t="s">
        <v>106</v>
      </c>
      <c r="C11" s="67">
        <f>('Inputs &amp; Outputs'!B24/'Inputs &amp; Outputs'!B22)^(1/(2045-2018))-1</f>
        <v>7.4135538476707286E-3</v>
      </c>
      <c r="F11" s="70">
        <f t="shared" si="2"/>
        <v>2025</v>
      </c>
      <c r="G11" s="80">
        <f>'Inputs &amp; Outputs'!$B$23</f>
        <v>13024</v>
      </c>
      <c r="H11" s="79">
        <f t="shared" si="7"/>
        <v>-8.2429000723671653E-2</v>
      </c>
      <c r="I11" s="70">
        <f>IF(AND(F11&gt;='Inputs &amp; Outputs'!B$13,F11&lt;'Inputs &amp; Outputs'!B$13+'Inputs &amp; Outputs'!B$19),1,0)</f>
        <v>1</v>
      </c>
      <c r="J11" s="71">
        <f>I11*'Inputs &amp; Outputs'!B$16*'Benefit Calculations'!G11*('Benefit Calculations'!C$4-'Benefit Calculations'!C$5)</f>
        <v>-201.60517096280617</v>
      </c>
      <c r="K11" s="89">
        <f t="shared" si="3"/>
        <v>-5.778027880819063E-2</v>
      </c>
      <c r="L11" s="72">
        <f>K11*'Assumed Values'!$C$8</f>
        <v>-433.81433329189525</v>
      </c>
      <c r="M11" s="73">
        <f t="shared" si="0"/>
        <v>-270.15776408336376</v>
      </c>
      <c r="N11" s="88">
        <f>I11*'Inputs &amp; Outputs'!B$16*'Benefit Calculations'!G11*('Benefit Calculations'!D$4-'Benefit Calculations'!D$5)</f>
        <v>-21.632861942201504</v>
      </c>
      <c r="O11" s="89">
        <f t="shared" si="4"/>
        <v>-6.20000364311142E-3</v>
      </c>
      <c r="P11" s="72">
        <f>ABS(O11*'Assumed Values'!$C$7)</f>
        <v>11.811006940127255</v>
      </c>
      <c r="Q11" s="73">
        <f t="shared" si="1"/>
        <v>7.3553015233613621</v>
      </c>
      <c r="T11" s="85">
        <f t="shared" si="5"/>
        <v>-5.2417344450329605E-2</v>
      </c>
      <c r="U11" s="86">
        <f>T11*'Assumed Values'!$D$8</f>
        <v>0</v>
      </c>
    </row>
    <row r="12" spans="2:21" x14ac:dyDescent="0.25">
      <c r="B12" s="27"/>
      <c r="C12" s="68"/>
      <c r="F12" s="70">
        <f t="shared" si="2"/>
        <v>2026</v>
      </c>
      <c r="G12" s="80">
        <f t="shared" si="6"/>
        <v>13448.37127185934</v>
      </c>
      <c r="H12" s="79">
        <f>$C$10</f>
        <v>3.2583789301239285E-2</v>
      </c>
      <c r="I12" s="70">
        <f>IF(AND(F12&gt;='Inputs &amp; Outputs'!B$13,F12&lt;'Inputs &amp; Outputs'!B$13+'Inputs &amp; Outputs'!B$19),1,0)</f>
        <v>1</v>
      </c>
      <c r="J12" s="71">
        <f>I12*'Inputs &amp; Outputs'!B$16*'Benefit Calculations'!G12*('Benefit Calculations'!C$4-'Benefit Calculations'!C$5)</f>
        <v>-208.17423137549855</v>
      </c>
      <c r="K12" s="89">
        <f t="shared" si="3"/>
        <v>-5.9662979238643561E-2</v>
      </c>
      <c r="L12" s="72">
        <f>K12*'Assumed Values'!$C$8</f>
        <v>-447.94964812373587</v>
      </c>
      <c r="M12" s="73">
        <f t="shared" si="0"/>
        <v>-260.71077359471957</v>
      </c>
      <c r="N12" s="88">
        <f>I12*'Inputs &amp; Outputs'!B$16*'Benefit Calculations'!G12*('Benefit Calculations'!D$4-'Benefit Calculations'!D$5)</f>
        <v>-22.337742557708992</v>
      </c>
      <c r="O12" s="89">
        <f t="shared" si="4"/>
        <v>-6.402023255485478E-3</v>
      </c>
      <c r="P12" s="72">
        <f>ABS(O12*'Assumed Values'!$C$7)</f>
        <v>12.195854301699836</v>
      </c>
      <c r="Q12" s="73">
        <f t="shared" si="1"/>
        <v>7.0980982415379934</v>
      </c>
      <c r="T12" s="85">
        <f t="shared" si="5"/>
        <v>-5.4125300157629626E-2</v>
      </c>
      <c r="U12" s="86">
        <f>T12*'Assumed Values'!$D$8</f>
        <v>0</v>
      </c>
    </row>
    <row r="13" spans="2:21" x14ac:dyDescent="0.25">
      <c r="B13" s="27"/>
      <c r="C13" s="68"/>
      <c r="F13" s="70">
        <f t="shared" si="2"/>
        <v>2027</v>
      </c>
      <c r="G13" s="80">
        <f t="shared" si="6"/>
        <v>13886.570167826443</v>
      </c>
      <c r="H13" s="79">
        <f t="shared" ref="H13:H36" si="8">$C$10</f>
        <v>3.2583789301239285E-2</v>
      </c>
      <c r="I13" s="70">
        <f>IF(AND(F13&gt;='Inputs &amp; Outputs'!B$13,F13&lt;'Inputs &amp; Outputs'!B$13+'Inputs &amp; Outputs'!B$19),1,0)</f>
        <v>1</v>
      </c>
      <c r="J13" s="71">
        <f>I13*'Inputs &amp; Outputs'!B$16*'Benefit Calculations'!G13*('Benefit Calculations'!C$4-'Benefit Calculations'!C$5)</f>
        <v>-214.95733666858521</v>
      </c>
      <c r="K13" s="89">
        <f t="shared" si="3"/>
        <v>-6.1607025183239732E-2</v>
      </c>
      <c r="L13" s="72">
        <f>K13*'Assumed Values'!$C$8</f>
        <v>-462.54554507576393</v>
      </c>
      <c r="M13" s="73">
        <f t="shared" si="0"/>
        <v>-251.59412944868501</v>
      </c>
      <c r="N13" s="88">
        <f>I13*'Inputs &amp; Outputs'!B$16*'Benefit Calculations'!G13*('Benefit Calculations'!D$4-'Benefit Calculations'!D$5)</f>
        <v>-23.065590854674706</v>
      </c>
      <c r="O13" s="89">
        <f t="shared" si="4"/>
        <v>-6.610625432343851E-3</v>
      </c>
      <c r="P13" s="72">
        <f>ABS(O13*'Assumed Values'!$C$7)</f>
        <v>12.593241448615036</v>
      </c>
      <c r="Q13" s="73">
        <f t="shared" si="1"/>
        <v>6.8498889524109936</v>
      </c>
      <c r="T13" s="85">
        <f t="shared" si="5"/>
        <v>-5.5888907533832154E-2</v>
      </c>
      <c r="U13" s="86">
        <f>T13*'Assumed Values'!$D$8</f>
        <v>0</v>
      </c>
    </row>
    <row r="14" spans="2:21" x14ac:dyDescent="0.25">
      <c r="B14" s="27"/>
      <c r="C14" s="68"/>
      <c r="F14" s="70">
        <f t="shared" si="2"/>
        <v>2028</v>
      </c>
      <c r="G14" s="80">
        <f t="shared" si="6"/>
        <v>14339.047244291774</v>
      </c>
      <c r="H14" s="79">
        <f t="shared" si="8"/>
        <v>3.2583789301239285E-2</v>
      </c>
      <c r="I14" s="70">
        <f>IF(AND(F14&gt;='Inputs &amp; Outputs'!B$13,F14&lt;'Inputs &amp; Outputs'!B$13+'Inputs &amp; Outputs'!B$19),1,0)</f>
        <v>1</v>
      </c>
      <c r="J14" s="71">
        <f>I14*'Inputs &amp; Outputs'!B$16*'Benefit Calculations'!G14*('Benefit Calculations'!C$4-'Benefit Calculations'!C$5)</f>
        <v>-221.96146123534999</v>
      </c>
      <c r="K14" s="89">
        <f t="shared" si="3"/>
        <v>-6.3614415511286562E-2</v>
      </c>
      <c r="L14" s="72">
        <f>K14*'Assumed Values'!$C$8</f>
        <v>-477.61703165873951</v>
      </c>
      <c r="M14" s="73">
        <f t="shared" si="0"/>
        <v>-242.79627995520534</v>
      </c>
      <c r="N14" s="88">
        <f>I14*'Inputs &amp; Outputs'!B$16*'Benefit Calculations'!G14*('Benefit Calculations'!D$4-'Benefit Calculations'!D$5)</f>
        <v>-23.817155207192023</v>
      </c>
      <c r="O14" s="89">
        <f t="shared" si="4"/>
        <v>-6.8260246585807576E-3</v>
      </c>
      <c r="P14" s="72">
        <f>ABS(O14*'Assumed Values'!$C$7)</f>
        <v>13.003576974596344</v>
      </c>
      <c r="Q14" s="73">
        <f t="shared" si="1"/>
        <v>6.6103591502553662</v>
      </c>
      <c r="T14" s="85">
        <f t="shared" si="5"/>
        <v>-5.7709979921191E-2</v>
      </c>
      <c r="U14" s="86">
        <f>T14*'Assumed Values'!$D$8</f>
        <v>0</v>
      </c>
    </row>
    <row r="15" spans="2:21" x14ac:dyDescent="0.25">
      <c r="B15" s="27"/>
      <c r="C15" s="69"/>
      <c r="F15" s="70">
        <f t="shared" si="2"/>
        <v>2029</v>
      </c>
      <c r="G15" s="80">
        <f t="shared" si="6"/>
        <v>14806.267738480294</v>
      </c>
      <c r="H15" s="79">
        <f t="shared" si="8"/>
        <v>3.2583789301239285E-2</v>
      </c>
      <c r="I15" s="70">
        <f>IF(AND(F15&gt;='Inputs &amp; Outputs'!B$13,F15&lt;'Inputs &amp; Outputs'!B$13+'Inputs &amp; Outputs'!B$19),1,0)</f>
        <v>1</v>
      </c>
      <c r="J15" s="71">
        <f>I15*'Inputs &amp; Outputs'!B$16*'Benefit Calculations'!G15*('Benefit Calculations'!C$4-'Benefit Calculations'!C$5)</f>
        <v>-229.19380672123776</v>
      </c>
      <c r="K15" s="89">
        <f t="shared" si="3"/>
        <v>-6.5687214222827806E-2</v>
      </c>
      <c r="L15" s="72">
        <f>K15*'Assumed Values'!$C$8</f>
        <v>-493.17960438499114</v>
      </c>
      <c r="M15" s="73">
        <f t="shared" si="0"/>
        <v>-234.30607736858914</v>
      </c>
      <c r="N15" s="88">
        <f>I15*'Inputs &amp; Outputs'!B$16*'Benefit Calculations'!G15*('Benefit Calculations'!D$4-'Benefit Calculations'!D$5)</f>
        <v>-24.593208374218079</v>
      </c>
      <c r="O15" s="89">
        <f t="shared" si="4"/>
        <v>-7.0484424078210168E-3</v>
      </c>
      <c r="P15" s="72">
        <f>ABS(O15*'Assumed Values'!$C$7)</f>
        <v>13.427282786899037</v>
      </c>
      <c r="Q15" s="73">
        <f t="shared" si="1"/>
        <v>6.3792053271147715</v>
      </c>
      <c r="T15" s="85">
        <f t="shared" si="5"/>
        <v>-5.9590389747521816E-2</v>
      </c>
      <c r="U15" s="86">
        <f>T15*'Assumed Values'!$D$8</f>
        <v>0</v>
      </c>
    </row>
    <row r="16" spans="2:21" x14ac:dyDescent="0.25">
      <c r="B16" s="27"/>
      <c r="C16" s="69"/>
      <c r="F16" s="70">
        <f t="shared" si="2"/>
        <v>2030</v>
      </c>
      <c r="G16" s="80">
        <f t="shared" si="6"/>
        <v>15288.712046808672</v>
      </c>
      <c r="H16" s="79">
        <f t="shared" si="8"/>
        <v>3.2583789301239285E-2</v>
      </c>
      <c r="I16" s="70">
        <f>IF(AND(F16&gt;='Inputs &amp; Outputs'!B$13,F16&lt;'Inputs &amp; Outputs'!B$13+'Inputs &amp; Outputs'!B$19),1,0)</f>
        <v>1</v>
      </c>
      <c r="J16" s="71">
        <f>I16*'Inputs &amp; Outputs'!B$16*'Benefit Calculations'!G16*('Benefit Calculations'!C$4-'Benefit Calculations'!C$5)</f>
        <v>-236.6618094285916</v>
      </c>
      <c r="K16" s="89">
        <f t="shared" si="3"/>
        <v>-6.7827552570849811E-2</v>
      </c>
      <c r="L16" s="72">
        <f>K16*'Assumed Values'!$C$8</f>
        <v>-509.24926470194038</v>
      </c>
      <c r="M16" s="73">
        <f t="shared" si="0"/>
        <v>-226.11276376221235</v>
      </c>
      <c r="N16" s="88">
        <f>I16*'Inputs &amp; Outputs'!B$16*'Benefit Calculations'!G16*('Benefit Calculations'!D$4-'Benefit Calculations'!D$5)</f>
        <v>-25.394548294125077</v>
      </c>
      <c r="O16" s="89">
        <f t="shared" si="4"/>
        <v>-7.2781073701393764E-3</v>
      </c>
      <c r="P16" s="72">
        <f>ABS(O16*'Assumed Values'!$C$7)</f>
        <v>13.864794540115511</v>
      </c>
      <c r="Q16" s="73">
        <f t="shared" si="1"/>
        <v>6.1561345882269372</v>
      </c>
      <c r="T16" s="85">
        <f t="shared" si="5"/>
        <v>-6.1532070451433815E-2</v>
      </c>
      <c r="U16" s="86">
        <f>T16*'Assumed Values'!$D$8</f>
        <v>0</v>
      </c>
    </row>
    <row r="17" spans="2:21" x14ac:dyDescent="0.25">
      <c r="B17" s="27"/>
      <c r="C17" s="69"/>
      <c r="F17" s="70">
        <f t="shared" si="2"/>
        <v>2031</v>
      </c>
      <c r="G17" s="80">
        <f t="shared" si="6"/>
        <v>15786.876218829206</v>
      </c>
      <c r="H17" s="79">
        <f t="shared" si="8"/>
        <v>3.2583789301239285E-2</v>
      </c>
      <c r="I17" s="70">
        <f>IF(AND(F17&gt;='Inputs &amp; Outputs'!B$13,F17&lt;'Inputs &amp; Outputs'!B$13+'Inputs &amp; Outputs'!B$19),1,0)</f>
        <v>1</v>
      </c>
      <c r="J17" s="71">
        <f>I17*'Inputs &amp; Outputs'!B$16*'Benefit Calculations'!G17*('Benefit Calculations'!C$4-'Benefit Calculations'!C$5)</f>
        <v>-244.37314796266284</v>
      </c>
      <c r="K17" s="89">
        <f t="shared" si="3"/>
        <v>-7.0037631252637109E-2</v>
      </c>
      <c r="L17" s="72">
        <f>K17*'Assumed Values'!$C$8</f>
        <v>-525.84253544479941</v>
      </c>
      <c r="M17" s="73">
        <f t="shared" si="0"/>
        <v>-218.20595739715995</v>
      </c>
      <c r="N17" s="88">
        <f>I17*'Inputs &amp; Outputs'!B$16*'Benefit Calculations'!G17*('Benefit Calculations'!D$4-'Benefit Calculations'!D$5)</f>
        <v>-26.221998905140993</v>
      </c>
      <c r="O17" s="89">
        <f t="shared" si="4"/>
        <v>-7.5152556871997947E-3</v>
      </c>
      <c r="P17" s="72">
        <f>ABS(O17*'Assumed Values'!$C$7)</f>
        <v>14.316562084115608</v>
      </c>
      <c r="Q17" s="73">
        <f t="shared" si="1"/>
        <v>5.9408642808970047</v>
      </c>
      <c r="T17" s="85">
        <f t="shared" si="5"/>
        <v>-6.3537018470292334E-2</v>
      </c>
      <c r="U17" s="86">
        <f>T17*'Assumed Values'!$D$8</f>
        <v>0</v>
      </c>
    </row>
    <row r="18" spans="2:21" x14ac:dyDescent="0.25">
      <c r="F18" s="70">
        <f t="shared" si="2"/>
        <v>2032</v>
      </c>
      <c r="G18" s="80">
        <f t="shared" si="6"/>
        <v>16301.272467268282</v>
      </c>
      <c r="H18" s="79">
        <f t="shared" si="8"/>
        <v>3.2583789301239285E-2</v>
      </c>
      <c r="I18" s="70">
        <f>IF(AND(F18&gt;='Inputs &amp; Outputs'!B$13,F18&lt;'Inputs &amp; Outputs'!B$13+'Inputs &amp; Outputs'!B$19),1,0)</f>
        <v>1</v>
      </c>
      <c r="J18" s="71">
        <f>I18*'Inputs &amp; Outputs'!B$16*'Benefit Calculations'!G18*('Benefit Calculations'!C$4-'Benefit Calculations'!C$5)</f>
        <v>-252.33575112675882</v>
      </c>
      <c r="K18" s="89">
        <f t="shared" si="3"/>
        <v>-7.2319722672530923E-2</v>
      </c>
      <c r="L18" s="72">
        <f>K18*'Assumed Values'!$C$8</f>
        <v>-542.97647782536217</v>
      </c>
      <c r="M18" s="73">
        <f t="shared" si="0"/>
        <v>-210.57563956753665</v>
      </c>
      <c r="N18" s="88">
        <f>I18*'Inputs &amp; Outputs'!B$16*'Benefit Calculations'!G18*('Benefit Calculations'!D$4-'Benefit Calculations'!D$5)</f>
        <v>-27.076410992523435</v>
      </c>
      <c r="O18" s="89">
        <f t="shared" si="4"/>
        <v>-7.7601311950564527E-3</v>
      </c>
      <c r="P18" s="72">
        <f>ABS(O18*'Assumed Values'!$C$7)</f>
        <v>14.783049926582542</v>
      </c>
      <c r="Q18" s="73">
        <f t="shared" si="1"/>
        <v>5.7331216363486091</v>
      </c>
      <c r="T18" s="85">
        <f t="shared" si="5"/>
        <v>-6.5607295292957293E-2</v>
      </c>
      <c r="U18" s="86">
        <f>T18*'Assumed Values'!$D$8</f>
        <v>0</v>
      </c>
    </row>
    <row r="19" spans="2:21" x14ac:dyDescent="0.25">
      <c r="F19" s="70">
        <f t="shared" si="2"/>
        <v>2033</v>
      </c>
      <c r="G19" s="80">
        <f t="shared" si="6"/>
        <v>16832.429694683844</v>
      </c>
      <c r="H19" s="79">
        <f t="shared" si="8"/>
        <v>3.2583789301239285E-2</v>
      </c>
      <c r="I19" s="70">
        <f>IF(AND(F19&gt;='Inputs &amp; Outputs'!B$13,F19&lt;'Inputs &amp; Outputs'!B$13+'Inputs &amp; Outputs'!B$19),1,0)</f>
        <v>0</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17380.894037283346</v>
      </c>
      <c r="H20" s="79">
        <f t="shared" si="8"/>
        <v>3.2583789301239285E-2</v>
      </c>
      <c r="I20" s="70">
        <f>IF(AND(F20&gt;='Inputs &amp; Outputs'!B$13,F20&lt;'Inputs &amp; Outputs'!B$13+'Inputs &amp; Outputs'!B$19),1,0)</f>
        <v>0</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17947.229426461352</v>
      </c>
      <c r="H21" s="79">
        <f t="shared" si="8"/>
        <v>3.2583789301239285E-2</v>
      </c>
      <c r="I21" s="70">
        <f>IF(AND(F21&gt;='Inputs &amp; Outputs'!B$13,F21&lt;'Inputs &amp; Outputs'!B$13+'Inputs &amp; Outputs'!B$19),1,0)</f>
        <v>0</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18532.018168634171</v>
      </c>
      <c r="H22" s="79">
        <f t="shared" si="8"/>
        <v>3.2583789301239285E-2</v>
      </c>
      <c r="I22" s="70">
        <f>IF(AND(F22&gt;='Inputs &amp; Outputs'!B$13,F22&lt;'Inputs &amp; Outputs'!B$13+'Inputs &amp; Outputs'!B$19),1,0)</f>
        <v>0</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19135.861543967687</v>
      </c>
      <c r="H23" s="79">
        <f t="shared" si="8"/>
        <v>3.2583789301239285E-2</v>
      </c>
      <c r="I23" s="70">
        <f>IF(AND(F23&gt;='Inputs &amp; Outputs'!B$13,F23&lt;'Inputs &amp; Outputs'!B$13+'Inputs &amp; Outputs'!B$19),1,0)</f>
        <v>0</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19759.380424614017</v>
      </c>
      <c r="H24" s="79">
        <f t="shared" si="8"/>
        <v>3.2583789301239285E-2</v>
      </c>
      <c r="I24" s="70">
        <f>IF(AND(F24&gt;='Inputs &amp; Outputs'!B$13,F24&lt;'Inputs &amp; Outputs'!B$13+'Inputs &amp; Outputs'!B$19),1,0)</f>
        <v>0</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20403.215913092674</v>
      </c>
      <c r="H25" s="79">
        <f t="shared" si="8"/>
        <v>3.2583789301239285E-2</v>
      </c>
      <c r="I25" s="70">
        <f>IF(AND(F25&gt;='Inputs &amp; Outputs'!B$13,F25&lt;'Inputs &amp; Outputs'!B$13+'Inputs &amp; Outputs'!B$19),1,0)</f>
        <v>0</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21068.03000147258</v>
      </c>
      <c r="H26" s="79">
        <f t="shared" si="8"/>
        <v>3.2583789301239285E-2</v>
      </c>
      <c r="I26" s="70">
        <f>IF(AND(F26&gt;='Inputs &amp; Outputs'!B$13,F26&lt;'Inputs &amp; Outputs'!B$13+'Inputs &amp; Outputs'!B$19),1,0)</f>
        <v>0</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21754.506252032752</v>
      </c>
      <c r="H27" s="79">
        <f t="shared" si="8"/>
        <v>3.2583789301239285E-2</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22463.350500101478</v>
      </c>
      <c r="H28" s="79">
        <f t="shared" si="8"/>
        <v>3.2583789301239285E-2</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23195.291579796674</v>
      </c>
      <c r="H29" s="79">
        <f t="shared" si="8"/>
        <v>3.2583789301239285E-2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23951.082073413578</v>
      </c>
      <c r="H30" s="79">
        <f t="shared" si="8"/>
        <v>3.2583789301239285E-2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29032</v>
      </c>
      <c r="H31" s="79">
        <f t="shared" si="8"/>
        <v>3.2583789301239285E-2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29977.972570993577</v>
      </c>
      <c r="H32" s="79">
        <f t="shared" si="8"/>
        <v>3.2583789301239285E-2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30954.768512925162</v>
      </c>
      <c r="H33" s="79">
        <f t="shared" si="8"/>
        <v>3.2583789301239285E-2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31963.392168018952</v>
      </c>
      <c r="H34" s="79">
        <f t="shared" si="8"/>
        <v>3.2583789301239285E-2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33004.880603774567</v>
      </c>
      <c r="H35" s="79">
        <f t="shared" si="8"/>
        <v>3.2583789301239285E-2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34080.304679280518</v>
      </c>
      <c r="H36" s="79">
        <f t="shared" si="8"/>
        <v>3.2583789301239285E-2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-2813.8069558649408</v>
      </c>
      <c r="K37" s="71">
        <f t="shared" ref="K37:Q37" si="9">SUM(K4:K36)</f>
        <v>-0.80644037871576735</v>
      </c>
      <c r="L37" s="74">
        <f t="shared" si="9"/>
        <v>-6054.7543633979822</v>
      </c>
      <c r="M37" s="75">
        <f t="shared" si="9"/>
        <v>-3524.8354437231651</v>
      </c>
      <c r="N37" s="88">
        <f t="shared" si="9"/>
        <v>-301.93023878074285</v>
      </c>
      <c r="O37" s="88">
        <f t="shared" si="9"/>
        <v>-8.6533561089032818E-2</v>
      </c>
      <c r="P37" s="76">
        <f t="shared" si="9"/>
        <v>164.84643387460753</v>
      </c>
      <c r="Q37" s="75">
        <f t="shared" si="9"/>
        <v>95.966990239136535</v>
      </c>
      <c r="T37" s="85">
        <f>SUM(T4:T36)</f>
        <v>-0.73158980852488464</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12</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Drew Davis</cp:lastModifiedBy>
  <cp:lastPrinted>2018-10-26T20:55:54Z</cp:lastPrinted>
  <dcterms:created xsi:type="dcterms:W3CDTF">2012-07-25T15:48:32Z</dcterms:created>
  <dcterms:modified xsi:type="dcterms:W3CDTF">2018-10-26T20:55:59Z</dcterms:modified>
</cp:coreProperties>
</file>