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ignalsSH242\"/>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<sst xmlns="http://schemas.openxmlformats.org/spreadsheetml/2006/main" count="291" uniqueCount="237">
  <si>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</si>
  <si>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</si>
  <si>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</si>
  <si>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</si>
  <si>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</si>
  <si>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</si>
  <si>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</si>
  <si>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</si>
  <si>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</si>
  <si>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</si>
  <si>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</si>
  <si>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</si>
  <si>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</si>
  <si>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</si>
  <si>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</si>
  <si>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</si>
  <si>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</si>
  <si>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</si>
  <si>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</si>
  <si>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</si>
  <si>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</si>
  <si>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</si>
  <si>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</si>
  <si>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</si>
  <si>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</si>
  <si>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</si>
  <si>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</si>
  <si>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</si>
  <si>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</si>
  <si>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</si>
  <si>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</si>
  <si>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</si>
  <si>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</si>
  <si>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</si>
  <si>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</si>
  <si>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</si>
  <si>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</si>
  <si>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</si>
  <si>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</si>
  <si>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</si>
  <si>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</si>
  <si>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</si>
  <si>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</si>
  <si>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</si>
  <si>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</si>
  <si>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</si>
  <si>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</si>
  <si>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</si>
  <si>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</si>
  <si>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</si>
  <si>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</si>
  <si>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</si>
  <si>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</si>
  <si>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</si>
  <si>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</si>
  <si>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</si>
  <si>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</si>
  <si>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</si>
  <si>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</si>
  <si>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</si>
  <si>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</si>
  <si>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</si>
  <si>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</si>
  <si>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</si>
  <si>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</si>
  <si>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</si>
  <si>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</si>
  <si>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</si>
  <si>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</si>
  <si>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</si>
  <si>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</si>
  <si>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</si>
  <si>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</si>
  <si>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</si>
  <si>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</si>
  <si>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</si>
  <si>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</si>
  <si>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</si>
  <si>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</si>
  <si>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</si>
  <si>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</si>
  <si>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</si>
  <si>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</si>
  <si>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</si>
  <si>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</si>
  <si>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</si>
  <si>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</si>
  <si>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</si>
  <si>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</si>
  <si>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</si>
  <si>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</si>
  <si>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</si>
  <si>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</si>
  <si>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</si>
  <si>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</si>
  <si>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</si>
  <si>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</si>
  <si>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</si>
  <si>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</si>
  <si>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</si>
  <si>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</si>
  <si>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</si>
  <si>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</si>
  <si>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</si>
  <si>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</si>
  <si>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</si>
  <si>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</si>
  <si>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</si>
  <si>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</si>
  <si>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</si>
  <si>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</si>
  <si>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</si>
  <si>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</si>
  <si>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</si>
  <si>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</si>
  <si>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</si>
  <si>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</si>
  <si>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</si>
  <si>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</si>
  <si>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</si>
  <si>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</si>
  <si>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</si>
  <si>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</si>
  <si>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</si>
  <si>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</si>
  <si>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</si>
  <si>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</si>
  <si>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</si>
  <si>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</si>
  <si>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</si>
  <si>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</si>
  <si>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</si>
  <si>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</si>
  <si>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</si>
  <si>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</si>
  <si>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</si>
  <si>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</si>
  <si>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</si>
  <si>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</si>
  <si>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</si>
  <si>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</si>
  <si>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</si>
  <si>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</si>
  <si>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</si>
  <si>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</si>
  <si>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</si>
  <si>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</si>
  <si>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</si>
  <si>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</si>
  <si>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</si>
  <si>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</si>
  <si>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</si>
  <si>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</si>
  <si>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</si>
  <si>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</si>
  <si>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</si>
  <si>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</si>
  <si>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</si>
  <si>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</si>
  <si>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</si>
  <si>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</si>
  <si>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</si>
  <si>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</si>
  <si>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</si>
  <si>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</si>
  <si>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</si>
  <si>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</si>
  <si>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</si>
  <si>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</si>
  <si>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</si>
  <si>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</si>
  <si>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</si>
  <si>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</si>
  <si>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</si>
  <si>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</si>
  <si>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</si>
  <si>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</si>
  <si>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</si>
  <si>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</si>
  <si>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</si>
  <si>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</si>
  <si>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</si>
  <si>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</si>
  <si>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</si>
  <si>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</si>
  <si>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</si>
  <si>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</si>
  <si>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</si>
  <si>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</si>
  <si>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</si>
  <si>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</si>
  <si>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</si>
  <si>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</si>
  <si>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</si>
  <si>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</si>
  <si>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</si>
  <si>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</si>
  <si>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</si>
  <si>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</si>
  <si>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</si>
  <si>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</si>
  <si>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</si>
  <si>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</si>
  <si>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</si>
  <si>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</si>
  <si>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</si>
  <si>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</si>
  <si>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</si>
  <si>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</si>
  <si>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</si>
  <si>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</si>
  <si>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</si>
  <si>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</si>
  <si>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</si>
  <si>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</si>
  <si>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</si>
  <si>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</si>
  <si>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</si>
  <si>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</si>
  <si>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</si>
  <si>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</si>
  <si>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</si>
  <si>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</si>
  <si>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</si>
  <si>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</si>
  <si>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</si>
  <si>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</si>
  <si>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</si>
  <si>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</si>
  <si>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</si>
  <si>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</si>
  <si>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</si>
  <si>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</si>
  <si>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Integration of Traffic Signals SH242</t>
  </si>
  <si>
    <t>SH 242</t>
  </si>
  <si>
    <t xml:space="preserve">IH45 </t>
  </si>
  <si>
    <t>FM 1485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</si>
</sst>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40" sqref="E4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202</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11</v>
      </c>
    </row>
    <row r="13" spans="1:7" x14ac:dyDescent="0.25">
      <c r="A13" s="8" t="s">
        <v>68</v>
      </c>
      <c r="B13" s="138">
        <v>343</v>
      </c>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0.2558139534883721</v>
      </c>
    </row>
    <row r="19" spans="1:7" ht="45" x14ac:dyDescent="0.25">
      <c r="A19" s="8" t="s">
        <v>121</v>
      </c>
      <c r="B19" s="140" t="s">
        <v>157</v>
      </c>
      <c r="E19" s="107" t="s">
        <v>212</v>
      </c>
      <c r="F19" s="146">
        <f>$B$12/$B$33</f>
        <v>0.47826086956521741</v>
      </c>
    </row>
    <row r="20" spans="1:7" ht="30" x14ac:dyDescent="0.25">
      <c r="A20" s="135" t="s">
        <v>208</v>
      </c>
      <c r="B20" s="136">
        <f>VLOOKUP(B19,'Delay Reduction Factors'!B4:C80,2, FALSE)</f>
        <v>0.2</v>
      </c>
      <c r="E20" s="107" t="s">
        <v>209</v>
      </c>
      <c r="F20" s="145">
        <f>$F$19-$F$18</f>
        <v>0.2224469160768453</v>
      </c>
    </row>
    <row r="21" spans="1:7" x14ac:dyDescent="0.25">
      <c r="A21" s="8" t="s">
        <v>104</v>
      </c>
      <c r="B21" s="79">
        <v>12</v>
      </c>
      <c r="D21" s="121"/>
      <c r="E21" s="105" t="s">
        <v>210</v>
      </c>
      <c r="F21" s="145">
        <f>$F$20*$B$20</f>
        <v>4.4489383215369063E-2</v>
      </c>
      <c r="G21" s="122"/>
    </row>
    <row r="22" spans="1:7" s="113" customFormat="1" x14ac:dyDescent="0.25">
      <c r="D22" s="121"/>
      <c r="E22" s="105" t="s">
        <v>211</v>
      </c>
      <c r="F22" s="145">
        <f>$F$20-$F$21</f>
        <v>0.17795753286147625</v>
      </c>
      <c r="G22" s="122"/>
    </row>
    <row r="23" spans="1:7" x14ac:dyDescent="0.25">
      <c r="E23" s="105" t="s">
        <v>213</v>
      </c>
      <c r="F23" s="145">
        <f>$F$18+$F$22</f>
        <v>0.43377148634984836</v>
      </c>
    </row>
    <row r="24" spans="1:7" x14ac:dyDescent="0.25">
      <c r="A24" s="119" t="s">
        <v>94</v>
      </c>
      <c r="B24" s="123"/>
      <c r="D24" s="121"/>
      <c r="G24" s="124"/>
    </row>
    <row r="25" spans="1:7" x14ac:dyDescent="0.25">
      <c r="A25" s="8" t="s">
        <v>218</v>
      </c>
      <c r="B25" s="141">
        <v>17408</v>
      </c>
      <c r="D25" s="121"/>
      <c r="G25" s="124"/>
    </row>
    <row r="28" spans="1:7" x14ac:dyDescent="0.25">
      <c r="A28" s="105" t="s">
        <v>227</v>
      </c>
      <c r="B28" s="134">
        <f>IF(FacilityType='Delay Reduction Factors'!N5,'Inputs &amp; Outputs'!B25*45%, B25*43%)</f>
        <v>7485.44</v>
      </c>
      <c r="D28" s="121"/>
      <c r="E28" s="125" t="s">
        <v>95</v>
      </c>
      <c r="F28" s="126" t="s">
        <v>20</v>
      </c>
      <c r="G28" s="127" t="s">
        <v>19</v>
      </c>
    </row>
    <row r="29" spans="1:7" x14ac:dyDescent="0.25">
      <c r="A29" s="105" t="s">
        <v>228</v>
      </c>
      <c r="B29" s="115">
        <f>VLOOKUP(Year_Open_to_Traffic?,Calculations!H4:I36,2)</f>
        <v>11264.000000000007</v>
      </c>
      <c r="D29" s="121"/>
      <c r="E29" s="107" t="s">
        <v>122</v>
      </c>
      <c r="F29" s="101">
        <f>$B$29*$F$23</f>
        <v>4886.0020222446947</v>
      </c>
      <c r="G29" s="102">
        <f>$B$29*$F$19</f>
        <v>5387.1304347826126</v>
      </c>
    </row>
    <row r="30" spans="1:7" x14ac:dyDescent="0.25">
      <c r="A30" s="124"/>
      <c r="B30" s="100"/>
      <c r="D30" s="121"/>
    </row>
    <row r="32" spans="1:7" x14ac:dyDescent="0.25">
      <c r="A32" s="128" t="s">
        <v>221</v>
      </c>
      <c r="B32" s="142">
        <v>43</v>
      </c>
      <c r="D32" s="121"/>
    </row>
    <row r="33" spans="1:7" ht="30" x14ac:dyDescent="0.25">
      <c r="A33" s="129" t="s">
        <v>222</v>
      </c>
      <c r="B33" s="143">
        <v>23</v>
      </c>
      <c r="D33" s="121"/>
      <c r="E33" s="121"/>
      <c r="F33" s="130"/>
      <c r="G33" s="117"/>
    </row>
    <row r="34" spans="1:7" x14ac:dyDescent="0.25">
      <c r="A34" s="131"/>
      <c r="B34" s="144"/>
      <c r="E34" s="117"/>
      <c r="F34" s="130"/>
      <c r="G34" s="130"/>
    </row>
    <row r="35" spans="1:7" x14ac:dyDescent="0.25">
      <c r="A35" s="105" t="s">
        <v>223</v>
      </c>
      <c r="B35" s="148">
        <f>$B$28</f>
        <v>7485.44</v>
      </c>
    </row>
    <row r="36" spans="1:7" x14ac:dyDescent="0.25">
      <c r="A36" s="128" t="s">
        <v>224</v>
      </c>
      <c r="B36" s="142">
        <v>12805</v>
      </c>
    </row>
    <row r="37" spans="1:7" x14ac:dyDescent="0.25">
      <c r="A37" s="128" t="s">
        <v>229</v>
      </c>
      <c r="B37" s="142">
        <v>11264</v>
      </c>
    </row>
    <row r="38" spans="1:7" x14ac:dyDescent="0.25">
      <c r="A38" s="128" t="s">
        <v>225</v>
      </c>
      <c r="B38" s="142">
        <v>21378</v>
      </c>
    </row>
    <row r="39" spans="1:7" x14ac:dyDescent="0.25">
      <c r="A39" s="128" t="s">
        <v>230</v>
      </c>
      <c r="B39" s="142">
        <v>17136</v>
      </c>
    </row>
    <row r="40" spans="1:7" x14ac:dyDescent="0.25">
      <c r="A40" s="128" t="s">
        <v>226</v>
      </c>
      <c r="B40" s="142">
        <v>21507</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24747.569599559887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1270360.5257836205</v>
      </c>
      <c r="F4" s="22">
        <f>'Inputs &amp; Outputs'!G29*Annual_Days_of_Travel</f>
        <v>1400653.9130434792</v>
      </c>
      <c r="H4" s="59">
        <v>2018</v>
      </c>
      <c r="I4" s="60">
        <f>'Inputs &amp; Outputs'!B28</f>
        <v>7485.44</v>
      </c>
      <c r="J4" s="60">
        <f>IF(H4=Year_Open_to_Traffic?,$F$4,0)</f>
        <v>0</v>
      </c>
      <c r="K4" s="60">
        <f>IF(H4=Year_Open_to_Traffic?,Calculations!$E$4,0)</f>
        <v>0</v>
      </c>
      <c r="L4" s="60">
        <f>IF(AND(H4&gt;=Year_Open_to_Traffic?, Calculations!H4&lt;Year_Open_to_Traffic?+'Inputs &amp; Outputs'!B$21), 1, 0)</f>
        <v>0</v>
      </c>
      <c r="M4" s="81" t="s">
        <v>75</v>
      </c>
      <c r="N4" s="82">
        <f>MIN(E8,1)</f>
        <v>0.58457165169855518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6.0116552221416431E-2</v>
      </c>
      <c r="F5" s="28"/>
      <c r="H5" s="15">
        <f t="shared" ref="H5:H36" si="3">H4+1</f>
        <v>2019</v>
      </c>
      <c r="I5" s="97">
        <f>(I4*M5)+I4</f>
        <v>7935.4388446602788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6.0116552221416431E-2</v>
      </c>
      <c r="N5" s="87">
        <f t="shared" ref="N5:N11" si="6">N4*(1+IFERROR(_2018_2025_V_C_Growth,_2018_2045_V_C_Growth))</f>
        <v>0.57596110123027766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2.1200081011077954E-2</v>
      </c>
      <c r="F6" s="28"/>
      <c r="H6" s="59">
        <f t="shared" si="3"/>
        <v>2020</v>
      </c>
      <c r="I6" s="97">
        <f t="shared" ref="I6:I36" si="10">(I5*M6)+I5</f>
        <v>8412.4900683651558</v>
      </c>
      <c r="J6" s="60">
        <f t="shared" si="4"/>
        <v>0</v>
      </c>
      <c r="K6" s="60">
        <f>IF(H6=Year_Open_to_Traffic?,Calculations!$E$4,K5+(K5*M6))</f>
        <v>0</v>
      </c>
      <c r="L6" s="60">
        <f>IF(AND(H6&gt;=Year_Open_to_Traffic?, Calculations!H6&lt;Year_Open_to_Traffic?+'Inputs &amp; Outputs'!B$21), 1, 0)</f>
        <v>0</v>
      </c>
      <c r="M6" s="81">
        <f t="shared" si="5"/>
        <v>6.0116552221416431E-2</v>
      </c>
      <c r="N6" s="87">
        <f t="shared" si="6"/>
        <v>0.5674773813723305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3.115020004665503E-2</v>
      </c>
      <c r="F7" s="28"/>
      <c r="H7" s="15">
        <f t="shared" si="3"/>
        <v>2021</v>
      </c>
      <c r="I7" s="97">
        <f t="shared" si="10"/>
        <v>8918.2199668721769</v>
      </c>
      <c r="J7" s="60">
        <f t="shared" si="4"/>
        <v>0</v>
      </c>
      <c r="K7" s="60">
        <f>IF(H7=Year_Open_to_Traffic?,Calculations!$E$4,K6+(K6*M7))</f>
        <v>0</v>
      </c>
      <c r="L7" s="60">
        <f>IF(AND(H7&gt;=Year_Open_to_Traffic?, Calculations!H7&lt;Year_Open_to_Traffic?+'Inputs &amp; Outputs'!B$21), 1, 0)</f>
        <v>0</v>
      </c>
      <c r="M7" s="81">
        <f t="shared" si="5"/>
        <v>6.0116552221416431E-2</v>
      </c>
      <c r="N7" s="87">
        <f t="shared" si="6"/>
        <v>0.55911862395103806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0.58457165169855518</v>
      </c>
      <c r="F8" s="28"/>
      <c r="H8" s="59">
        <f t="shared" si="3"/>
        <v>2022</v>
      </c>
      <c r="I8" s="97">
        <f t="shared" si="10"/>
        <v>9454.3526032327263</v>
      </c>
      <c r="J8" s="60">
        <f t="shared" si="4"/>
        <v>0</v>
      </c>
      <c r="K8" s="60">
        <f>IF(H8=Year_Open_to_Traffic?,Calculations!$E$4,K7+(K7*M8))</f>
        <v>0</v>
      </c>
      <c r="L8" s="60">
        <f>IF(AND(H8&gt;=Year_Open_to_Traffic?, Calculations!H8&lt;Year_Open_to_Traffic?+'Inputs &amp; Outputs'!B$21), 1, 0)</f>
        <v>0</v>
      </c>
      <c r="M8" s="81">
        <f t="shared" si="5"/>
        <v>6.0116552221416431E-2</v>
      </c>
      <c r="N8" s="87">
        <f t="shared" si="6"/>
        <v>0.55088298831031612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0.52689680980447184</v>
      </c>
      <c r="F9" s="28"/>
      <c r="H9" s="15">
        <f t="shared" si="3"/>
        <v>2023</v>
      </c>
      <c r="I9" s="97">
        <f t="shared" si="10"/>
        <v>10022.715685224652</v>
      </c>
      <c r="J9" s="60">
        <f t="shared" si="4"/>
        <v>0</v>
      </c>
      <c r="K9" s="60">
        <f>IF(H9=Year_Open_to_Traffic?,Calculations!$E$4,K8+(K8*M9))</f>
        <v>0</v>
      </c>
      <c r="L9" s="60">
        <f>IF(AND(H9&gt;=Year_Open_to_Traffic?, Calculations!H9&lt;Year_Open_to_Traffic?+'Inputs &amp; Outputs'!B$21), 1, 0)</f>
        <v>0</v>
      </c>
      <c r="M9" s="81">
        <f t="shared" si="5"/>
        <v>6.0116552221416431E-2</v>
      </c>
      <c r="N9" s="87">
        <f t="shared" si="6"/>
        <v>0.54276866090634623</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0.79676384432975311</v>
      </c>
      <c r="F10" s="28"/>
      <c r="H10" s="59">
        <f t="shared" si="3"/>
        <v>2024</v>
      </c>
      <c r="I10" s="97">
        <f t="shared" si="10"/>
        <v>10625.246796115869</v>
      </c>
      <c r="J10" s="60">
        <f t="shared" si="4"/>
        <v>0</v>
      </c>
      <c r="K10" s="60">
        <f>IF(H10=Year_Open_to_Traffic?,Calculations!$E$4,K9+(K9*M10))</f>
        <v>0</v>
      </c>
      <c r="L10" s="60">
        <f>IF(AND(H10&gt;=Year_Open_to_Traffic?, Calculations!H10&lt;Year_Open_to_Traffic?+'Inputs &amp; Outputs'!B$21), 1, 0)</f>
        <v>0</v>
      </c>
      <c r="M10" s="81">
        <f t="shared" si="5"/>
        <v>6.0116552221416431E-2</v>
      </c>
      <c r="N10" s="87">
        <f t="shared" si="6"/>
        <v>0.53477385490822105</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-1.4729675041987411E-2</v>
      </c>
      <c r="F11" s="28"/>
      <c r="H11" s="15">
        <f t="shared" si="3"/>
        <v>2025</v>
      </c>
      <c r="I11" s="97">
        <f t="shared" si="10"/>
        <v>11264.000000000007</v>
      </c>
      <c r="J11" s="60">
        <f t="shared" si="4"/>
        <v>1400653.9130434792</v>
      </c>
      <c r="K11" s="60">
        <f>IF(H11=Year_Open_to_Traffic?,Calculations!$E$4,K10+(K10*M11))</f>
        <v>1270360.5257836205</v>
      </c>
      <c r="L11" s="60">
        <f>IF(AND(H11&gt;=Year_Open_to_Traffic?, Calculations!H11&lt;Year_Open_to_Traffic?+'Inputs &amp; Outputs'!B$21), 1, 0)</f>
        <v>1</v>
      </c>
      <c r="M11" s="81">
        <f t="shared" si="5"/>
        <v>6.0116552221416431E-2</v>
      </c>
      <c r="N11" s="87">
        <f t="shared" si="6"/>
        <v>0.52689680980447207</v>
      </c>
      <c r="O11" s="88">
        <f t="shared" si="7"/>
        <v>1</v>
      </c>
      <c r="P11" s="84">
        <f t="shared" si="8"/>
        <v>130293.38725985866</v>
      </c>
      <c r="Q11" s="85">
        <f t="shared" si="0"/>
        <v>1</v>
      </c>
      <c r="R11" s="86">
        <f t="shared" si="1"/>
        <v>20.787565583925574</v>
      </c>
      <c r="S11" s="94">
        <f t="shared" si="2"/>
        <v>3764.7904426144132</v>
      </c>
      <c r="T11" s="80">
        <f t="shared" si="9"/>
        <v>2344.5222763877014</v>
      </c>
      <c r="W11" s="73"/>
    </row>
    <row r="12" spans="1:24" x14ac:dyDescent="0.25">
      <c r="A12" s="18" t="s">
        <v>205</v>
      </c>
      <c r="B12" s="19">
        <v>0.45</v>
      </c>
      <c r="D12" s="18" t="s">
        <v>83</v>
      </c>
      <c r="E12" s="46">
        <f>(E10/E9)^(1/(2045-2025))-1</f>
        <v>2.0892944724646645E-2</v>
      </c>
      <c r="F12" s="28"/>
      <c r="H12" s="59">
        <v>2026</v>
      </c>
      <c r="I12" s="97">
        <f t="shared" si="10"/>
        <v>11502.797712508789</v>
      </c>
      <c r="J12" s="60">
        <f t="shared" si="4"/>
        <v>1430347.8894684843</v>
      </c>
      <c r="K12" s="60">
        <f>IF(H12=Year_Open_to_Traffic?,Calculations!$E$4,K11+(K11*M12))</f>
        <v>1297292.2718435088</v>
      </c>
      <c r="L12" s="60">
        <f>IF(AND(H12&gt;=Year_Open_to_Traffic?, Calculations!H12&lt;Year_Open_to_Traffic?+'Inputs &amp; Outputs'!B$21), 1, 0)</f>
        <v>1</v>
      </c>
      <c r="M12" s="81">
        <f t="shared" ref="M12:M36" si="11">IFERROR(_2025_2045_Demand_Growth,_2018_2045_Demand_Growth)</f>
        <v>2.1200081011077954E-2</v>
      </c>
      <c r="N12" s="87">
        <f t="shared" ref="N12:N36" si="12">N11*(1+IFERROR(_2025_2045_V_C_Growth,_2018_2045_V_C_Growth))</f>
        <v>0.53790523572730953</v>
      </c>
      <c r="O12" s="88">
        <f t="shared" si="7"/>
        <v>1</v>
      </c>
      <c r="P12" s="84">
        <f t="shared" si="8"/>
        <v>133055.61762497551</v>
      </c>
      <c r="Q12" s="85">
        <f t="shared" si="0"/>
        <v>1</v>
      </c>
      <c r="R12" s="86">
        <f t="shared" si="1"/>
        <v>21.265679592355859</v>
      </c>
      <c r="S12" s="94">
        <f t="shared" si="2"/>
        <v>3933.0302040022866</v>
      </c>
      <c r="T12" s="80">
        <f t="shared" si="9"/>
        <v>2289.0593872586214</v>
      </c>
      <c r="W12" s="73"/>
    </row>
    <row r="13" spans="1:24" x14ac:dyDescent="0.25">
      <c r="A13" s="18" t="s">
        <v>206</v>
      </c>
      <c r="B13" s="19">
        <v>0.43</v>
      </c>
      <c r="D13" s="18" t="s">
        <v>84</v>
      </c>
      <c r="E13" s="46">
        <f>(E10/E8)^(1/(2045-2018))-1</f>
        <v>1.1535619421289445E-2</v>
      </c>
      <c r="F13" s="28"/>
      <c r="H13" s="15">
        <f t="shared" si="3"/>
        <v>2027</v>
      </c>
      <c r="I13" s="97">
        <f t="shared" si="10"/>
        <v>11746.657955868017</v>
      </c>
      <c r="J13" s="60">
        <f t="shared" si="4"/>
        <v>1460671.3805992405</v>
      </c>
      <c r="K13" s="60">
        <f>IF(H13=Year_Open_to_Traffic?,Calculations!$E$4,K12+(K12*M13))</f>
        <v>1324794.9731016366</v>
      </c>
      <c r="L13" s="60">
        <f>IF(AND(H13&gt;=Year_Open_to_Traffic?, Calculations!H13&lt;Year_Open_to_Traffic?+'Inputs &amp; Outputs'!B$21), 1, 0)</f>
        <v>1</v>
      </c>
      <c r="M13" s="81">
        <f t="shared" si="11"/>
        <v>2.1200081011077954E-2</v>
      </c>
      <c r="N13" s="87">
        <f t="shared" si="12"/>
        <v>0.54914366008445825</v>
      </c>
      <c r="O13" s="88">
        <f t="shared" si="7"/>
        <v>1</v>
      </c>
      <c r="P13" s="84">
        <f t="shared" si="8"/>
        <v>135876.40749760391</v>
      </c>
      <c r="Q13" s="85">
        <f t="shared" si="0"/>
        <v>1</v>
      </c>
      <c r="R13" s="86">
        <f t="shared" si="1"/>
        <v>21.754790222980041</v>
      </c>
      <c r="S13" s="94">
        <f t="shared" si="2"/>
        <v>4108.7882104939099</v>
      </c>
      <c r="T13" s="80">
        <f t="shared" si="9"/>
        <v>2234.9085488195765</v>
      </c>
      <c r="W13" s="73"/>
    </row>
    <row r="14" spans="1:24" x14ac:dyDescent="0.25">
      <c r="H14" s="59">
        <f>H13+1</f>
        <v>2028</v>
      </c>
      <c r="I14" s="97">
        <f t="shared" si="10"/>
        <v>11995.688056141842</v>
      </c>
      <c r="J14" s="60">
        <f t="shared" si="4"/>
        <v>1491637.7321985075</v>
      </c>
      <c r="K14" s="60">
        <f>IF(H14=Year_Open_to_Traffic?,Calculations!$E$4,K13+(K13*M14))</f>
        <v>1352880.7338544601</v>
      </c>
      <c r="L14" s="60">
        <f>IF(AND(H14&gt;=Year_Open_to_Traffic?, Calculations!H14&lt;Year_Open_to_Traffic?+'Inputs &amp; Outputs'!B$21), 1, 0)</f>
        <v>1</v>
      </c>
      <c r="M14" s="81">
        <f t="shared" si="11"/>
        <v>2.1200081011077954E-2</v>
      </c>
      <c r="N14" s="87">
        <f t="shared" si="12"/>
        <v>0.56061688822049294</v>
      </c>
      <c r="O14" s="88">
        <f t="shared" si="7"/>
        <v>1</v>
      </c>
      <c r="P14" s="84">
        <f t="shared" si="8"/>
        <v>138756.99834404746</v>
      </c>
      <c r="Q14" s="85">
        <f t="shared" si="0"/>
        <v>1</v>
      </c>
      <c r="R14" s="86">
        <f t="shared" si="1"/>
        <v>22.255150398108579</v>
      </c>
      <c r="S14" s="94">
        <f t="shared" si="2"/>
        <v>4292.400435042262</v>
      </c>
      <c r="T14" s="80">
        <f t="shared" si="9"/>
        <v>2182.0387227124884</v>
      </c>
      <c r="W14" s="73"/>
    </row>
    <row r="15" spans="1:24" x14ac:dyDescent="0.25">
      <c r="H15" s="15">
        <f t="shared" si="3"/>
        <v>2029</v>
      </c>
      <c r="I15" s="97">
        <f t="shared" si="10"/>
        <v>12249.997614715669</v>
      </c>
      <c r="J15" s="60">
        <f t="shared" si="4"/>
        <v>1523260.5729602964</v>
      </c>
      <c r="K15" s="60">
        <f>IF(H15=Year_Open_to_Traffic?,Calculations!$E$4,K14+(K14*M15))</f>
        <v>1381561.9150105012</v>
      </c>
      <c r="L15" s="60">
        <f>IF(AND(H15&gt;=Year_Open_to_Traffic?, Calculations!H15&lt;Year_Open_to_Traffic?+'Inputs &amp; Outputs'!B$21), 1, 0)</f>
        <v>1</v>
      </c>
      <c r="M15" s="81">
        <f t="shared" si="11"/>
        <v>2.1200081011077954E-2</v>
      </c>
      <c r="N15" s="87">
        <f t="shared" si="12"/>
        <v>0.57232982587778714</v>
      </c>
      <c r="O15" s="88">
        <f t="shared" si="7"/>
        <v>1</v>
      </c>
      <c r="P15" s="84">
        <f t="shared" si="8"/>
        <v>141698.65794979525</v>
      </c>
      <c r="Q15" s="85">
        <f t="shared" si="0"/>
        <v>1</v>
      </c>
      <c r="R15" s="86">
        <f t="shared" si="1"/>
        <v>22.767018857265079</v>
      </c>
      <c r="S15" s="94">
        <f t="shared" si="2"/>
        <v>4484.2178644530777</v>
      </c>
      <c r="T15" s="80">
        <f t="shared" si="9"/>
        <v>2130.4196048341846</v>
      </c>
      <c r="W15" s="73"/>
    </row>
    <row r="16" spans="1:24" x14ac:dyDescent="0.25">
      <c r="H16" s="59">
        <f t="shared" si="3"/>
        <v>2030</v>
      </c>
      <c r="I16" s="97">
        <f t="shared" si="10"/>
        <v>12509.698556533152</v>
      </c>
      <c r="J16" s="60">
        <f t="shared" si="4"/>
        <v>1555553.8205080358</v>
      </c>
      <c r="K16" s="60">
        <f>IF(H16=Year_Open_to_Traffic?,Calculations!$E$4,K15+(K15*M16))</f>
        <v>1410851.1395305437</v>
      </c>
      <c r="L16" s="60">
        <f>IF(AND(H16&gt;=Year_Open_to_Traffic?, Calculations!H16&lt;Year_Open_to_Traffic?+'Inputs &amp; Outputs'!B$21), 1, 0)</f>
        <v>1</v>
      </c>
      <c r="M16" s="81">
        <f t="shared" si="11"/>
        <v>2.1200081011077954E-2</v>
      </c>
      <c r="N16" s="87">
        <f t="shared" si="12"/>
        <v>0.58428748129411834</v>
      </c>
      <c r="O16" s="88">
        <f t="shared" si="7"/>
        <v>1</v>
      </c>
      <c r="P16" s="84">
        <f t="shared" si="8"/>
        <v>144702.68097749213</v>
      </c>
      <c r="Q16" s="85">
        <f t="shared" si="0"/>
        <v>1</v>
      </c>
      <c r="R16" s="86">
        <f t="shared" si="1"/>
        <v>23.290660290982171</v>
      </c>
      <c r="S16" s="94">
        <f t="shared" si="2"/>
        <v>4684.607170319181</v>
      </c>
      <c r="T16" s="80">
        <f t="shared" si="9"/>
        <v>2080.0216079666166</v>
      </c>
      <c r="W16" s="73"/>
    </row>
    <row r="17" spans="1:23" x14ac:dyDescent="0.25">
      <c r="A17" s="29"/>
      <c r="H17" s="15">
        <f t="shared" si="3"/>
        <v>2031</v>
      </c>
      <c r="I17" s="97">
        <f t="shared" si="10"/>
        <v>12774.905179355821</v>
      </c>
      <c r="J17" s="60">
        <f t="shared" si="4"/>
        <v>1588531.6875198979</v>
      </c>
      <c r="K17" s="60">
        <f>IF(H17=Year_Open_to_Traffic?,Calculations!$E$4,K16+(K16*M17))</f>
        <v>1440761.2979831628</v>
      </c>
      <c r="L17" s="60">
        <f>IF(AND(H17&gt;=Year_Open_to_Traffic?, Calculations!H17&lt;Year_Open_to_Traffic?+'Inputs &amp; Outputs'!B$21), 1, 0)</f>
        <v>1</v>
      </c>
      <c r="M17" s="81">
        <f t="shared" si="11"/>
        <v>2.1200081011077954E-2</v>
      </c>
      <c r="N17" s="87">
        <f t="shared" si="12"/>
        <v>0.59649496734409935</v>
      </c>
      <c r="O17" s="88">
        <f t="shared" si="7"/>
        <v>1</v>
      </c>
      <c r="P17" s="84">
        <f t="shared" si="8"/>
        <v>147770.38953673514</v>
      </c>
      <c r="Q17" s="85">
        <f t="shared" si="0"/>
        <v>1</v>
      </c>
      <c r="R17" s="86">
        <f t="shared" si="1"/>
        <v>23.82634547767476</v>
      </c>
      <c r="S17" s="94">
        <f t="shared" si="2"/>
        <v>4893.9514099372291</v>
      </c>
      <c r="T17" s="80">
        <f t="shared" si="9"/>
        <v>2030.8158448179324</v>
      </c>
      <c r="W17" s="73"/>
    </row>
    <row r="18" spans="1:23" x14ac:dyDescent="0.25">
      <c r="H18" s="59">
        <f t="shared" si="3"/>
        <v>2032</v>
      </c>
      <c r="I18" s="97">
        <f t="shared" si="10"/>
        <v>13045.734204067005</v>
      </c>
      <c r="J18" s="60">
        <f t="shared" si="4"/>
        <v>1622208.6879839841</v>
      </c>
      <c r="K18" s="60">
        <f>IF(H18=Year_Open_to_Traffic?,Calculations!$E$4,K17+(K17*M18))</f>
        <v>1471305.5542180317</v>
      </c>
      <c r="L18" s="60">
        <f>IF(AND(H18&gt;=Year_Open_to_Traffic?, Calculations!H18&lt;Year_Open_to_Traffic?+'Inputs &amp; Outputs'!B$21), 1, 0)</f>
        <v>1</v>
      </c>
      <c r="M18" s="81">
        <f t="shared" si="11"/>
        <v>2.1200081011077954E-2</v>
      </c>
      <c r="N18" s="87">
        <f t="shared" si="12"/>
        <v>0.60895750372534951</v>
      </c>
      <c r="O18" s="88">
        <f t="shared" si="7"/>
        <v>1</v>
      </c>
      <c r="P18" s="84">
        <f t="shared" si="8"/>
        <v>150903.13376595243</v>
      </c>
      <c r="Q18" s="85">
        <f t="shared" si="0"/>
        <v>1</v>
      </c>
      <c r="R18" s="86">
        <f t="shared" si="1"/>
        <v>24.374351423661277</v>
      </c>
      <c r="S18" s="94">
        <f t="shared" si="2"/>
        <v>5112.6507585468962</v>
      </c>
      <c r="T18" s="80">
        <f t="shared" si="9"/>
        <v>1982.7741114647906</v>
      </c>
      <c r="W18" s="73"/>
    </row>
    <row r="19" spans="1:23" x14ac:dyDescent="0.25">
      <c r="H19" s="15">
        <f t="shared" si="3"/>
        <v>2033</v>
      </c>
      <c r="I19" s="97">
        <f t="shared" si="10"/>
        <v>13322.304826042217</v>
      </c>
      <c r="J19" s="60">
        <f t="shared" si="4"/>
        <v>1656599.6435861192</v>
      </c>
      <c r="K19" s="60">
        <f>IF(H19=Year_Open_to_Traffic?,Calculations!$E$4,K18+(K18*M19))</f>
        <v>1502497.351159503</v>
      </c>
      <c r="L19" s="60">
        <f>IF(AND(H19&gt;=Year_Open_to_Traffic?, Calculations!H19&lt;Year_Open_to_Traffic?+'Inputs &amp; Outputs'!B$21), 1, 0)</f>
        <v>1</v>
      </c>
      <c r="M19" s="81">
        <f t="shared" si="11"/>
        <v>2.1200081011077954E-2</v>
      </c>
      <c r="N19" s="87">
        <f t="shared" si="12"/>
        <v>0.621680419190342</v>
      </c>
      <c r="O19" s="88">
        <f t="shared" si="7"/>
        <v>1</v>
      </c>
      <c r="P19" s="84">
        <f t="shared" si="8"/>
        <v>154102.29242661619</v>
      </c>
      <c r="Q19" s="85">
        <f t="shared" si="0"/>
        <v>1</v>
      </c>
      <c r="R19" s="86">
        <f t="shared" si="1"/>
        <v>24.934961506405479</v>
      </c>
      <c r="S19" s="94">
        <f t="shared" si="2"/>
        <v>5341.1232742920556</v>
      </c>
      <c r="T19" s="80">
        <f t="shared" si="9"/>
        <v>1935.8688711863228</v>
      </c>
      <c r="W19" s="73"/>
    </row>
    <row r="20" spans="1:23" x14ac:dyDescent="0.25">
      <c r="H20" s="59">
        <f t="shared" si="3"/>
        <v>2034</v>
      </c>
      <c r="I20" s="97">
        <f t="shared" si="10"/>
        <v>13604.738767608585</v>
      </c>
      <c r="J20" s="60">
        <f t="shared" si="4"/>
        <v>1691719.6902330678</v>
      </c>
      <c r="K20" s="60">
        <f>IF(H20=Year_Open_to_Traffic?,Calculations!$E$4,K19+(K19*M20))</f>
        <v>1534350.4167230146</v>
      </c>
      <c r="L20" s="60">
        <f>IF(AND(H20&gt;=Year_Open_to_Traffic?, Calculations!H20&lt;Year_Open_to_Traffic?+'Inputs &amp; Outputs'!B$21), 1, 0)</f>
        <v>1</v>
      </c>
      <c r="M20" s="81">
        <f t="shared" si="11"/>
        <v>2.1200081011077954E-2</v>
      </c>
      <c r="N20" s="87">
        <f t="shared" si="12"/>
        <v>0.63466915382488098</v>
      </c>
      <c r="O20" s="88">
        <f t="shared" si="7"/>
        <v>1</v>
      </c>
      <c r="P20" s="84">
        <f t="shared" si="8"/>
        <v>157369.27351005329</v>
      </c>
      <c r="Q20" s="85">
        <f t="shared" si="0"/>
        <v>1</v>
      </c>
      <c r="R20" s="86">
        <f t="shared" si="1"/>
        <v>25.508465621052807</v>
      </c>
      <c r="S20" s="94">
        <f t="shared" si="2"/>
        <v>5579.805697366337</v>
      </c>
      <c r="T20" s="80">
        <f t="shared" si="9"/>
        <v>1890.0732386805514</v>
      </c>
      <c r="W20" s="73"/>
    </row>
    <row r="21" spans="1:23" x14ac:dyDescent="0.25">
      <c r="H21" s="15">
        <f t="shared" si="3"/>
        <v>2035</v>
      </c>
      <c r="I21" s="97">
        <f t="shared" si="10"/>
        <v>13893.16033161644</v>
      </c>
      <c r="J21" s="60">
        <f t="shared" si="4"/>
        <v>1727584.2847140445</v>
      </c>
      <c r="K21" s="60">
        <f>IF(H21=Year_Open_to_Traffic?,Calculations!$E$4,K20+(K20*M21))</f>
        <v>1566878.7698569237</v>
      </c>
      <c r="L21" s="60">
        <f>IF(AND(H21&gt;=Year_Open_to_Traffic?, Calculations!H21&lt;Year_Open_to_Traffic?+'Inputs &amp; Outputs'!B$21), 1, 0)</f>
        <v>1</v>
      </c>
      <c r="M21" s="81">
        <f t="shared" si="11"/>
        <v>2.1200081011077954E-2</v>
      </c>
      <c r="N21" s="87">
        <f t="shared" si="12"/>
        <v>0.6479292613741825</v>
      </c>
      <c r="O21" s="88">
        <f t="shared" si="7"/>
        <v>1</v>
      </c>
      <c r="P21" s="84">
        <f t="shared" si="8"/>
        <v>160705.51485712081</v>
      </c>
      <c r="Q21" s="85">
        <f t="shared" si="0"/>
        <v>1</v>
      </c>
      <c r="R21" s="86">
        <f t="shared" si="1"/>
        <v>26.095160330337016</v>
      </c>
      <c r="S21" s="94">
        <f t="shared" si="2"/>
        <v>5829.1542848706358</v>
      </c>
      <c r="T21" s="80">
        <f t="shared" si="9"/>
        <v>1845.3609646541775</v>
      </c>
      <c r="W21" s="73"/>
    </row>
    <row r="22" spans="1:23" x14ac:dyDescent="0.25">
      <c r="H22" s="59">
        <f>H21+1</f>
        <v>2036</v>
      </c>
      <c r="I22" s="97">
        <f t="shared" si="10"/>
        <v>14187.696456146603</v>
      </c>
      <c r="J22" s="60">
        <f t="shared" si="4"/>
        <v>1764209.2115034475</v>
      </c>
      <c r="K22" s="60">
        <f>IF(H22=Year_Open_to_Traffic?,Calculations!$E$4,K21+(K21*M22))</f>
        <v>1600096.7267124287</v>
      </c>
      <c r="L22" s="60">
        <f>IF(AND(H22&gt;=Year_Open_to_Traffic?, Calculations!H22&lt;Year_Open_to_Traffic?+'Inputs &amp; Outputs'!B$21), 1, 0)</f>
        <v>1</v>
      </c>
      <c r="M22" s="81">
        <f t="shared" si="11"/>
        <v>2.1200081011077954E-2</v>
      </c>
      <c r="N22" s="87">
        <f t="shared" si="12"/>
        <v>0.66146641161755437</v>
      </c>
      <c r="O22" s="88">
        <f t="shared" si="7"/>
        <v>1</v>
      </c>
      <c r="P22" s="84">
        <f t="shared" si="8"/>
        <v>164112.48479101877</v>
      </c>
      <c r="Q22" s="85">
        <f t="shared" si="0"/>
        <v>1</v>
      </c>
      <c r="R22" s="86">
        <f t="shared" si="1"/>
        <v>26.695349017934767</v>
      </c>
      <c r="S22" s="94">
        <f t="shared" si="2"/>
        <v>6089.645682978492</v>
      </c>
      <c r="T22" s="80">
        <f t="shared" si="9"/>
        <v>1801.7064207769306</v>
      </c>
      <c r="W22" s="73"/>
    </row>
    <row r="23" spans="1:23" x14ac:dyDescent="0.25">
      <c r="H23" s="15">
        <f t="shared" si="3"/>
        <v>2037</v>
      </c>
      <c r="I23" s="97">
        <f t="shared" si="10"/>
        <v>14488.476770377494</v>
      </c>
      <c r="J23" s="60">
        <f t="shared" si="4"/>
        <v>1801610.5897078104</v>
      </c>
      <c r="K23" s="60">
        <f>IF(H23=Year_Open_to_Traffic?,Calculations!$E$4,K22+(K22*M23))</f>
        <v>1634018.9069442928</v>
      </c>
      <c r="L23" s="60">
        <f>IF(AND(H23&gt;=Year_Open_to_Traffic?, Calculations!H23&lt;Year_Open_to_Traffic?+'Inputs &amp; Outputs'!B$21), 1, 0)</f>
        <v>0</v>
      </c>
      <c r="M23" s="81">
        <f t="shared" si="11"/>
        <v>2.1200081011077954E-2</v>
      </c>
      <c r="N23" s="87">
        <f t="shared" si="12"/>
        <v>0.67528639279269032</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14795.633651636617</v>
      </c>
      <c r="J24" s="60">
        <f t="shared" si="4"/>
        <v>1839804.8801600318</v>
      </c>
      <c r="K24" s="60">
        <f>IF(H24=Year_Open_to_Traffic?,Calculations!$E$4,K23+(K23*M24))</f>
        <v>1668660.240145145</v>
      </c>
      <c r="L24" s="60">
        <f>IF(AND(H24&gt;=Year_Open_to_Traffic?, Calculations!H24&lt;Year_Open_to_Traffic?+'Inputs &amp; Outputs'!B$21), 1, 0)</f>
        <v>0</v>
      </c>
      <c r="M24" s="81">
        <f t="shared" si="11"/>
        <v>2.1200081011077954E-2</v>
      </c>
      <c r="N24" s="87">
        <f t="shared" si="12"/>
        <v>0.68939511407061405</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15109.302283661546</v>
      </c>
      <c r="J25" s="60">
        <f t="shared" si="4"/>
        <v>1878808.8926640011</v>
      </c>
      <c r="K25" s="60">
        <f>IF(H25=Year_Open_to_Traffic?,Calculations!$E$4,K24+(K24*M25))</f>
        <v>1704035.9724161869</v>
      </c>
      <c r="L25" s="60">
        <f>IF(AND(H25&gt;=Year_Open_to_Traffic?, Calculations!H25&lt;Year_Open_to_Traffic?+'Inputs &amp; Outputs'!B$21), 1, 0)</f>
        <v>0</v>
      </c>
      <c r="M25" s="81">
        <f t="shared" si="11"/>
        <v>2.1200081011077954E-2</v>
      </c>
      <c r="N25" s="87">
        <f t="shared" si="12"/>
        <v>0.70379860808233285</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15429.620716096035</v>
      </c>
      <c r="J26" s="60">
        <f t="shared" si="4"/>
        <v>1918639.7933928117</v>
      </c>
      <c r="K26" s="60">
        <f>IF(H26=Year_Open_to_Traffic?,Calculations!$E$4,K25+(K25*M26))</f>
        <v>1740161.673077201</v>
      </c>
      <c r="L26" s="60">
        <f>IF(AND(H26&gt;=Year_Open_to_Traffic?, Calculations!H26&lt;Year_Open_to_Traffic?+'Inputs &amp; Outputs'!B$21), 1, 0)</f>
        <v>0</v>
      </c>
      <c r="M26" s="81">
        <f t="shared" si="11"/>
        <v>2.1200081011077954E-2</v>
      </c>
      <c r="N26" s="87">
        <f t="shared" si="12"/>
        <v>0.71850303349828026</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15756.729925247477</v>
      </c>
      <c r="J27" s="60">
        <f t="shared" si="4"/>
        <v>1959315.1124438171</v>
      </c>
      <c r="K27" s="60">
        <f>IF(H27=Year_Open_to_Traffic?,Calculations!$E$4,K26+(K26*M27))</f>
        <v>1777053.2415188106</v>
      </c>
      <c r="L27" s="60">
        <f>IF(AND(H27&gt;=Year_Open_to_Traffic?, Calculations!H27&lt;Year_Open_to_Traffic?+'Inputs &amp; Outputs'!B$21), 1, 0)</f>
        <v>0</v>
      </c>
      <c r="M27" s="81">
        <f t="shared" si="11"/>
        <v>2.1200081011077954E-2</v>
      </c>
      <c r="N27" s="87">
        <f t="shared" si="12"/>
        <v>0.73351467766165079</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16090.7738761324</v>
      </c>
      <c r="J28" s="60">
        <f t="shared" si="4"/>
        <v>2000852.7515538554</v>
      </c>
      <c r="K28" s="60">
        <f>IF(H28=Year_Open_to_Traffic?,Calculations!$E$4,K27+(K27*M28))</f>
        <v>1814726.9142000081</v>
      </c>
      <c r="L28" s="60">
        <f>IF(AND(H28&gt;=Year_Open_to_Traffic?, Calculations!H28&lt;Year_Open_to_Traffic?+'Inputs &amp; Outputs'!B$21), 1, 0)</f>
        <v>0</v>
      </c>
      <c r="M28" s="81">
        <f t="shared" si="11"/>
        <v>2.1200081011077954E-2</v>
      </c>
      <c r="N28" s="87">
        <f t="shared" si="12"/>
        <v>0.74883995927675262</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16431.899585837342</v>
      </c>
      <c r="J29" s="60">
        <f t="shared" si="4"/>
        <v>2043270.9919780353</v>
      </c>
      <c r="K29" s="60">
        <f>IF(H29=Year_Open_to_Traffic?,Calculations!$E$4,K28+(K28*M29))</f>
        <v>1853199.2717940318</v>
      </c>
      <c r="L29" s="60">
        <f>IF(AND(H29&gt;=Year_Open_to_Traffic?, Calculations!H29&lt;Year_Open_to_Traffic?+'Inputs &amp; Outputs'!B$21), 1, 0)</f>
        <v>0</v>
      </c>
      <c r="M29" s="81">
        <f t="shared" si="11"/>
        <v>2.1200081011077954E-2</v>
      </c>
      <c r="N29" s="87">
        <f t="shared" si="12"/>
        <v>0.76448543115352841</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16780.257188222993</v>
      </c>
      <c r="J30" s="60">
        <f t="shared" si="4"/>
        <v>2086588.5025355553</v>
      </c>
      <c r="K30" s="60">
        <f>IF(H30=Year_Open_to_Traffic?,Calculations!$E$4,K29+(K29*M30))</f>
        <v>1892487.246485736</v>
      </c>
      <c r="L30" s="60">
        <f>IF(AND(H30&gt;=Year_Open_to_Traffic?, Calculations!H30&lt;Year_Open_to_Traffic?+'Inputs &amp; Outputs'!B$21), 1, 0)</f>
        <v>0</v>
      </c>
      <c r="M30" s="81">
        <f t="shared" si="11"/>
        <v>2.1200081011077954E-2</v>
      </c>
      <c r="N30" s="87">
        <f t="shared" si="12"/>
        <v>0.78045778300941671</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17136.000000000044</v>
      </c>
      <c r="J31" s="60">
        <f t="shared" si="4"/>
        <v>2130824.347826093</v>
      </c>
      <c r="K31" s="60">
        <f>IF(H31=Year_Open_to_Traffic?,Calculations!$E$4,K30+(K30*M31))</f>
        <v>1932608.1294236653</v>
      </c>
      <c r="L31" s="60">
        <f>IF(AND(H31&gt;=Year_Open_to_Traffic?, Calculations!H31&lt;Year_Open_to_Traffic?+'Inputs &amp; Outputs'!B$21), 1, 0)</f>
        <v>0</v>
      </c>
      <c r="M31" s="81">
        <f t="shared" si="11"/>
        <v>2.1200081011077954E-2</v>
      </c>
      <c r="N31" s="87">
        <f t="shared" si="12"/>
        <v>0.79676384432975267</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17499.284588205875</v>
      </c>
      <c r="J32" s="60">
        <f t="shared" si="4"/>
        <v>2175997.9966203836</v>
      </c>
      <c r="K32" s="60">
        <f>IF(H32=Year_Open_to_Traffic?,Calculations!$E$4,K31+(K31*M32))</f>
        <v>1973579.5783301149</v>
      </c>
      <c r="L32" s="60">
        <f>IF(AND(H32&gt;=Year_Open_to_Traffic?, Calculations!H32&lt;Year_Open_to_Traffic?+'Inputs &amp; Outputs'!B$21), 1, 0)</f>
        <v>0</v>
      </c>
      <c r="M32" s="81">
        <f t="shared" si="11"/>
        <v>2.1200081011077954E-2</v>
      </c>
      <c r="N32" s="87">
        <f t="shared" si="12"/>
        <v>0.81341058728793114</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17870.270839111749</v>
      </c>
      <c r="J33" s="60">
        <f t="shared" si="4"/>
        <v>2222129.330428679</v>
      </c>
      <c r="K33" s="60">
        <f>IF(H33=Year_Open_to_Traffic?,Calculations!$E$4,K32+(K32*M33))</f>
        <v>2015419.6252725224</v>
      </c>
      <c r="L33" s="60">
        <f>IF(AND(H33&gt;=Year_Open_to_Traffic?, Calculations!H33&lt;Year_Open_to_Traffic?+'Inputs &amp; Outputs'!B$21), 1, 0)</f>
        <v>0</v>
      </c>
      <c r="M33" s="81">
        <f t="shared" si="11"/>
        <v>2.1200081011077954E-2</v>
      </c>
      <c r="N33" s="87">
        <f t="shared" si="12"/>
        <v>0.8304051297265802</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18249.12202859082</v>
      </c>
      <c r="J34" s="60">
        <f t="shared" si="4"/>
        <v>2269238.6522508594</v>
      </c>
      <c r="K34" s="60">
        <f>IF(H34=Year_Open_to_Traffic?,Calculations!$E$4,K33+(K33*M34))</f>
        <v>2058146.6845996163</v>
      </c>
      <c r="L34" s="60">
        <f>IF(AND(H34&gt;=Year_Open_to_Traffic?, Calculations!H34&lt;Year_Open_to_Traffic?+'Inputs &amp; Outputs'!B$21), 1, 0)</f>
        <v>0</v>
      </c>
      <c r="M34" s="81">
        <f t="shared" si="11"/>
        <v>2.1200081011077954E-2</v>
      </c>
      <c r="N34" s="87">
        <f t="shared" si="12"/>
        <v>0.84775473820102065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18636.004893977992</v>
      </c>
      <c r="J35" s="60">
        <f t="shared" si="4"/>
        <v>2317346.695512047</v>
      </c>
      <c r="K35" s="60">
        <f>IF(H35=Year_Open_to_Traffic?,Calculations!$E$4,K34+(K34*M35))</f>
        <v>2101779.5610458096</v>
      </c>
      <c r="L35" s="60">
        <f>IF(AND(H35&gt;=Year_Open_to_Traffic?, Calculations!H35&lt;Year_Open_to_Traffic?+'Inputs &amp; Outputs'!B$21), 1, 0)</f>
        <v>0</v>
      </c>
      <c r="M35" s="81">
        <f t="shared" si="11"/>
        <v>2.1200081011077954E-2</v>
      </c>
      <c r="N35" s="87">
        <f t="shared" si="12"/>
        <v>0.86546683108631184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19031.089707453171</v>
      </c>
      <c r="J36" s="60">
        <f t="shared" si="4"/>
        <v>2366474.6331876563</v>
      </c>
      <c r="K36" s="60">
        <f>IF(H36=Year_Open_to_Traffic?,Calculations!$E$4,K35+(K35*M36))</f>
        <v>2146337.4580074088</v>
      </c>
      <c r="L36" s="60">
        <f>IF(AND(H36&gt;=Year_Open_to_Traffic?, Calculations!H36&lt;Year_Open_to_Traffic?+'Inputs &amp; Outputs'!B$21), 1, 0)</f>
        <v>0</v>
      </c>
      <c r="M36" s="81">
        <f t="shared" si="11"/>
        <v>2.1200081011077954E-2</v>
      </c>
      <c r="N36" s="87">
        <f t="shared" si="12"/>
        <v>0.88354898174921326</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24747.569599559887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2018-10-31T16:25:18Z</dcterms:modified>
</cp:coreProperties>
</file>