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Y:\htdocs\2018-call-for-projects\documents\"/>
    </mc:Choice>
  </mc:AlternateContent>
  <xr:revisionPtr revIDLastSave="26" documentId="8_{624B4477-B582-48B0-8D5E-C1D937856652}" xr6:coauthVersionLast="40" xr6:coauthVersionMax="40" xr10:uidLastSave="{D63F4708-844E-449F-820F-A9DEAB779B5E}"/>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<sst xmlns="http://schemas.openxmlformats.org/spreadsheetml/2006/main" count="292" uniqueCount="238">
  <si>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</si>
  <si>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</si>
  <si>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</si>
  <si>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</si>
  <si>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</si>
  <si>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</si>
  <si>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</si>
  <si>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</si>
  <si>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</si>
  <si>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</si>
  <si>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</si>
  <si>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</si>
  <si>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</si>
  <si>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</si>
  <si>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</si>
  <si>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</si>
  <si>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</si>
  <si>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</si>
  <si>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</si>
  <si>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</si>
  <si>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</si>
  <si>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</si>
  <si>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</si>
  <si>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</si>
  <si>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</si>
  <si>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</si>
  <si>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</si>
  <si>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</si>
  <si>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</si>
  <si>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</si>
  <si>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</si>
  <si>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</si>
  <si>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</si>
  <si>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</si>
  <si>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</si>
  <si>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</si>
  <si>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</si>
  <si>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</si>
  <si>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</si>
  <si>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</si>
  <si>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</si>
  <si>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</si>
  <si>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</si>
  <si>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</si>
  <si>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</si>
  <si>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</si>
  <si>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</si>
  <si>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</si>
  <si>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</si>
  <si>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518 Widening</t>
  </si>
  <si>
    <t>Data entered by the sponsors</t>
  </si>
  <si>
    <t>County</t>
  </si>
  <si>
    <t>Brazoria</t>
  </si>
  <si>
    <t>HGAC regional travel demand model data provided by HGAC</t>
  </si>
  <si>
    <t>Facility Type</t>
  </si>
  <si>
    <t>Non Freeway</t>
  </si>
  <si>
    <t>Data populated/calculated based on inputs</t>
  </si>
  <si>
    <t>Street Name:</t>
  </si>
  <si>
    <t xml:space="preserve">FM 518 </t>
  </si>
  <si>
    <t>Benefits calculated by the template</t>
  </si>
  <si>
    <t>Limits (From)</t>
  </si>
  <si>
    <t>SH 288</t>
  </si>
  <si>
    <t>Limits (To)</t>
  </si>
  <si>
    <t>FM 865</t>
  </si>
  <si>
    <t>Length (in Miles)</t>
  </si>
  <si>
    <t>Application ID Number:</t>
  </si>
  <si>
    <t>Sponsor ID Number (CSJ, etc.):</t>
  </si>
  <si>
    <t>3416-01-012</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</si>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</sst>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37" sqref="B37"/>
    </sheetView>
  </sheetViews>
  <sheetFormatPr defaultColWidth="9.140625" defaultRowHeight="14.2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1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2.12</v>
      </c>
    </row>
    <row r="13" spans="1:7">
      <c r="A13" s="7" t="s">
        <v>65</v>
      </c>
      <c r="B13" s="116"/>
      <c r="F13" s="99"/>
    </row>
    <row r="14" spans="1:7">
      <c r="A14" s="7" t="s">
        <v>66</v>
      </c>
      <c r="B14" s="116" t="s">
        <v>67</v>
      </c>
    </row>
    <row r="17" spans="1:7">
      <c r="A17" s="98" t="s">
        <v>68</v>
      </c>
      <c r="E17" s="130" t="s">
        <v>69</v>
      </c>
      <c r="F17" s="131"/>
    </row>
    <row r="18" spans="1:7">
      <c r="A18" s="7" t="s">
        <v>70</v>
      </c>
      <c r="B18" s="117">
        <v>2024</v>
      </c>
      <c r="E18" s="87" t="s">
        <v>71</v>
      </c>
      <c r="F18" s="122">
        <f>$B$12/$B$32</f>
        <v>4.7111111111111111E-2</v>
      </c>
    </row>
    <row r="19" spans="1:7" ht="30">
      <c r="A19" s="7" t="s">
        <v>72</v>
      </c>
      <c r="B19" s="118" t="s">
        <v>73</v>
      </c>
      <c r="E19" s="89" t="s">
        <v>74</v>
      </c>
      <c r="F19" s="123">
        <f>$B$12/$B$33</f>
        <v>0.10095238095238096</v>
      </c>
    </row>
    <row r="20" spans="1:7" ht="28.5">
      <c r="A20" s="113" t="s">
        <v>75</v>
      </c>
      <c r="B20" s="114">
        <f>VLOOKUP(B19,'Delay Reduction Factors'!B4:C80,2, FALSE)</f>
        <v>0.4</v>
      </c>
      <c r="E20" s="89" t="s">
        <v>76</v>
      </c>
      <c r="F20" s="122">
        <f>$F$19-$F$18</f>
        <v>5.384126984126985E-2</v>
      </c>
    </row>
    <row r="21" spans="1:7">
      <c r="A21" s="7" t="s">
        <v>77</v>
      </c>
      <c r="B21" s="63">
        <v>20</v>
      </c>
      <c r="D21" s="100"/>
      <c r="E21" s="87" t="s">
        <v>78</v>
      </c>
      <c r="F21" s="122">
        <f>$F$20*$B$20</f>
        <v>2.1536507936507941E-2</v>
      </c>
      <c r="G21" s="101"/>
    </row>
    <row r="22" spans="1:7">
      <c r="D22" s="100"/>
      <c r="E22" s="87" t="s">
        <v>79</v>
      </c>
      <c r="F22" s="122">
        <f>$F$20-$F$21</f>
        <v>3.2304761904761906E-2</v>
      </c>
      <c r="G22" s="101"/>
    </row>
    <row r="23" spans="1:7">
      <c r="E23" s="87" t="s">
        <v>80</v>
      </c>
      <c r="F23" s="122">
        <f>$F$18+$F$22</f>
        <v>7.9415873015873023E-2</v>
      </c>
    </row>
    <row r="24" spans="1:7">
      <c r="A24" s="98" t="s">
        <v>81</v>
      </c>
      <c r="B24" s="102"/>
      <c r="D24" s="100"/>
    </row>
    <row r="25" spans="1:7">
      <c r="A25" s="7" t="s">
        <v>82</v>
      </c>
      <c r="B25" s="126">
        <v>35861</v>
      </c>
      <c r="D25" s="100"/>
    </row>
    <row r="28" spans="1:7">
      <c r="A28" s="87" t="s">
        <v>83</v>
      </c>
      <c r="B28" s="112">
        <f>IF(FacilityType='Delay Reduction Factors'!N5,'Inputs &amp; Outputs'!B25*45%, B25*43%)</f>
        <v>15420.23</v>
      </c>
      <c r="D28" s="100"/>
      <c r="E28" s="103" t="s">
        <v>84</v>
      </c>
      <c r="F28" s="104" t="s">
        <v>2</v>
      </c>
      <c r="G28" s="105" t="s">
        <v>85</v>
      </c>
    </row>
    <row r="29" spans="1:7">
      <c r="A29" s="87" t="s">
        <v>86</v>
      </c>
      <c r="B29" s="95">
        <f>VLOOKUP(Year_Open_to_Traffic?,Calculations!H4:I36,2)</f>
        <v>16864.470574710798</v>
      </c>
      <c r="D29" s="100"/>
      <c r="E29" s="89" t="s">
        <v>87</v>
      </c>
      <c r="F29" s="83">
        <f>$B$29*$F$23</f>
        <v>1339.30665364116</v>
      </c>
      <c r="G29" s="84">
        <f>$B$29*$F$19</f>
        <v>1702.5084580184237</v>
      </c>
    </row>
    <row r="30" spans="1:7">
      <c r="B30" s="82"/>
      <c r="D30" s="100"/>
    </row>
    <row r="32" spans="1:7">
      <c r="A32" s="106" t="s">
        <v>88</v>
      </c>
      <c r="B32" s="119">
        <v>45</v>
      </c>
      <c r="D32" s="100"/>
    </row>
    <row r="33" spans="1:7" ht="28.5">
      <c r="A33" s="107" t="s">
        <v>89</v>
      </c>
      <c r="B33" s="120">
        <v>21</v>
      </c>
      <c r="D33" s="100"/>
      <c r="E33" s="100"/>
      <c r="F33" s="108"/>
    </row>
    <row r="34" spans="1:7">
      <c r="A34" s="109"/>
      <c r="B34" s="121"/>
      <c r="F34" s="108"/>
      <c r="G34" s="108"/>
    </row>
    <row r="35" spans="1:7">
      <c r="A35" s="87" t="s">
        <v>90</v>
      </c>
      <c r="B35" s="125">
        <f>$B$28</f>
        <v>15420.23</v>
      </c>
    </row>
    <row r="36" spans="1:7">
      <c r="A36" s="106" t="s">
        <v>91</v>
      </c>
      <c r="B36" s="119">
        <v>23508</v>
      </c>
    </row>
    <row r="37" spans="1:7">
      <c r="A37" s="106" t="s">
        <v>92</v>
      </c>
      <c r="B37" s="119">
        <v>17118</v>
      </c>
    </row>
    <row r="38" spans="1:7">
      <c r="A38" s="106" t="s">
        <v>93</v>
      </c>
      <c r="B38" s="119">
        <v>23508</v>
      </c>
    </row>
    <row r="39" spans="1:7">
      <c r="A39" s="106" t="s">
        <v>94</v>
      </c>
      <c r="B39" s="119">
        <v>21374</v>
      </c>
    </row>
    <row r="40" spans="1:7">
      <c r="A40" s="106" t="s">
        <v>95</v>
      </c>
      <c r="B40" s="119">
        <v>31094</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26365.85509307641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2.7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348219.72994670161</v>
      </c>
      <c r="F4" s="21">
        <f>'Inputs &amp; Outputs'!G29*Annual_Days_of_Travel</f>
        <v>442652.19908479013</v>
      </c>
      <c r="H4" s="49">
        <v>2018</v>
      </c>
      <c r="I4" s="50">
        <f>'Inputs &amp; Outputs'!B28</f>
        <v>15420.23</v>
      </c>
      <c r="J4" s="50">
        <f>IF(H4=Year_Open_to_Traffic?,$F$4,0)</f>
        <v>0</v>
      </c>
      <c r="K4" s="50">
        <f>IF(H4=Year_Open_to_Traffic?,Calculations!$E$4,0)</f>
        <v>0</v>
      </c>
      <c r="L4" s="50">
        <f>IF(AND(H4&gt;=Year_Open_to_Traffic?, Calculations!H4&lt;Year_Open_to_Traffic?+'Inputs &amp; Outputs'!B$21), 1, 0)</f>
        <v>0</v>
      </c>
      <c r="M4" s="65" t="s">
        <v>111</v>
      </c>
      <c r="N4" s="66">
        <f>MIN(E8,1)</f>
        <v>0.65595669559298964</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1.5033346239127887E-2</v>
      </c>
      <c r="F5" s="26"/>
      <c r="H5" s="14">
        <f t="shared" ref="H5:H36" si="3">H4+1</f>
        <v>2019</v>
      </c>
      <c r="I5" s="79">
        <f>(I4*M5)+I4</f>
        <v>15652.047656676987</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1.5033346239127887E-2</v>
      </c>
      <c r="N5" s="71">
        <f t="shared" ref="N5:N11" si="6">N4*(1+IFERROR(_2018_2025_V_C_Growth,_2018_2045_V_C_Growth))</f>
        <v>0.66581791971571325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1.116409294748455E-2</v>
      </c>
      <c r="F6" s="26"/>
      <c r="H6" s="49">
        <f t="shared" si="3"/>
        <v>2020</v>
      </c>
      <c r="I6" s="79">
        <f t="shared" ref="I6:I36" si="10">(I5*M6)+I5</f>
        <v>15887.350308451141</v>
      </c>
      <c r="J6" s="50">
        <f t="shared" si="4"/>
        <v>0</v>
      </c>
      <c r="K6" s="50">
        <f>IF(H6=Year_Open_to_Traffic?,Calculations!$E$4,K5+(K5*M6))</f>
        <v>0</v>
      </c>
      <c r="L6" s="50">
        <f>IF(AND(H6&gt;=Year_Open_to_Traffic?, Calculations!H6&lt;Year_Open_to_Traffic?+'Inputs &amp; Outputs'!B$21), 1, 0)</f>
        <v>0</v>
      </c>
      <c r="M6" s="65">
        <f t="shared" si="5"/>
        <v>1.5033346239127887E-2</v>
      </c>
      <c r="N6" s="71">
        <f t="shared" si="6"/>
        <v>0.67582739103501543</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1.216581415373752E-2</v>
      </c>
      <c r="F7" s="26"/>
      <c r="H7" s="14">
        <f t="shared" si="3"/>
        <v>2021</v>
      </c>
      <c r="I7" s="79">
        <f t="shared" si="10"/>
        <v>16126.190346460402</v>
      </c>
      <c r="J7" s="50">
        <f t="shared" si="4"/>
        <v>0</v>
      </c>
      <c r="K7" s="50">
        <f>IF(H7=Year_Open_to_Traffic?,Calculations!$E$4,K6+(K6*M7))</f>
        <v>0</v>
      </c>
      <c r="L7" s="50">
        <f>IF(AND(H7&gt;=Year_Open_to_Traffic?, Calculations!H7&lt;Year_Open_to_Traffic?+'Inputs &amp; Outputs'!B$21), 1, 0)</f>
        <v>0</v>
      </c>
      <c r="M7" s="65">
        <f t="shared" si="5"/>
        <v>1.5033346239127887E-2</v>
      </c>
      <c r="N7" s="71">
        <f t="shared" si="6"/>
        <v>0.68598733820233126</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0.65595669559298964</v>
      </c>
      <c r="F8" s="26"/>
      <c r="H8" s="49">
        <f t="shared" si="3"/>
        <v>2022</v>
      </c>
      <c r="I8" s="79">
        <f t="shared" si="10"/>
        <v>16368.620949456823</v>
      </c>
      <c r="J8" s="50">
        <f t="shared" si="4"/>
        <v>0</v>
      </c>
      <c r="K8" s="50">
        <f>IF(H8=Year_Open_to_Traffic?,Calculations!$E$4,K7+(K7*M8))</f>
        <v>0</v>
      </c>
      <c r="L8" s="50">
        <f>IF(AND(H8&gt;=Year_Open_to_Traffic?, Calculations!H8&lt;Year_Open_to_Traffic?+'Inputs &amp; Outputs'!B$21), 1, 0)</f>
        <v>0</v>
      </c>
      <c r="M8" s="65">
        <f t="shared" si="5"/>
        <v>1.5033346239127887E-2</v>
      </c>
      <c r="N8" s="71">
        <f t="shared" si="6"/>
        <v>0.69630002337318464</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0.72817764165390508</v>
      </c>
      <c r="F9" s="26"/>
      <c r="H9" s="14">
        <f t="shared" si="3"/>
        <v>2023</v>
      </c>
      <c r="I9" s="79">
        <f t="shared" si="10"/>
        <v>16614.69609564705</v>
      </c>
      <c r="J9" s="50">
        <f t="shared" si="4"/>
        <v>0</v>
      </c>
      <c r="K9" s="50">
        <f>IF(H9=Year_Open_to_Traffic?,Calculations!$E$4,K8+(K8*M9))</f>
        <v>0</v>
      </c>
      <c r="L9" s="50">
        <f>IF(AND(H9&gt;=Year_Open_to_Traffic?, Calculations!H9&lt;Year_Open_to_Traffic?+'Inputs &amp; Outputs'!B$21), 1, 0)</f>
        <v>0</v>
      </c>
      <c r="M9" s="65">
        <f t="shared" si="5"/>
        <v>1.5033346239127887E-2</v>
      </c>
      <c r="N9" s="71">
        <f t="shared" si="6"/>
        <v>0.70676774271086662</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0.68739949829549107</v>
      </c>
      <c r="F10" s="26"/>
      <c r="H10" s="49">
        <f t="shared" si="3"/>
        <v>2024</v>
      </c>
      <c r="I10" s="79">
        <f t="shared" si="10"/>
        <v>16864.470574710798</v>
      </c>
      <c r="J10" s="50">
        <f t="shared" si="4"/>
        <v>442652.19908479013</v>
      </c>
      <c r="K10" s="50">
        <f>IF(H10=Year_Open_to_Traffic?,Calculations!$E$4,K9+(K9*M10))</f>
        <v>348219.72994670161</v>
      </c>
      <c r="L10" s="50">
        <f>IF(AND(H10&gt;=Year_Open_to_Traffic?, Calculations!H10&lt;Year_Open_to_Traffic?+'Inputs &amp; Outputs'!B$21), 1, 0)</f>
        <v>1</v>
      </c>
      <c r="M10" s="65">
        <f t="shared" si="5"/>
        <v>1.5033346239127887E-2</v>
      </c>
      <c r="N10" s="71">
        <f t="shared" si="6"/>
        <v>0.71739282689768591</v>
      </c>
      <c r="O10" s="72">
        <f t="shared" si="7"/>
        <v>1</v>
      </c>
      <c r="P10" s="68">
        <f>(J10-K10)*L10</f>
        <v>94432.46913808852</v>
      </c>
      <c r="Q10" s="69">
        <f t="shared" si="0"/>
        <v>1</v>
      </c>
      <c r="R10" s="70">
        <f t="shared" si="1"/>
        <v>20.320200961804083</v>
      </c>
      <c r="S10" s="77">
        <f t="shared" si="2"/>
        <v>2667.252582785396</v>
      </c>
      <c r="T10" s="64">
        <f t="shared" si="9"/>
        <v>1777.3030174935575</v>
      </c>
      <c r="W10" s="58"/>
    </row>
    <row r="11" spans="1:24" ht="30" customHeight="1">
      <c r="A11" s="132" t="s">
        <v>121</v>
      </c>
      <c r="B11" s="133"/>
      <c r="D11" s="17" t="s">
        <v>122</v>
      </c>
      <c r="E11" s="39">
        <f>(E9/E8)^(1/(2025-2018))-1</f>
        <v>1.5033346239127887E-2</v>
      </c>
      <c r="F11" s="26"/>
      <c r="H11" s="14">
        <f t="shared" si="3"/>
        <v>2025</v>
      </c>
      <c r="I11" s="79">
        <f t="shared" si="10"/>
        <v>17118.000000000011</v>
      </c>
      <c r="J11" s="50">
        <f t="shared" si="4"/>
        <v>449306.74285714317</v>
      </c>
      <c r="K11" s="50">
        <f>IF(H11=Year_Open_to_Traffic?,Calculations!$E$4,K10+(K10*M11))</f>
        <v>353454.63771428599</v>
      </c>
      <c r="L11" s="50">
        <f>IF(AND(H11&gt;=Year_Open_to_Traffic?, Calculations!H11&lt;Year_Open_to_Traffic?+'Inputs &amp; Outputs'!B$21), 1, 0)</f>
        <v>1</v>
      </c>
      <c r="M11" s="65">
        <f t="shared" si="5"/>
        <v>1.5033346239127887E-2</v>
      </c>
      <c r="N11" s="71">
        <f t="shared" si="6"/>
        <v>0.72817764165390553</v>
      </c>
      <c r="O11" s="72">
        <f t="shared" si="7"/>
        <v>1</v>
      </c>
      <c r="P11" s="68">
        <f t="shared" si="8"/>
        <v>95852.105142857181</v>
      </c>
      <c r="Q11" s="69">
        <f t="shared" si="0"/>
        <v>1</v>
      </c>
      <c r="R11" s="70">
        <f t="shared" si="1"/>
        <v>20.787565583925574</v>
      </c>
      <c r="S11" s="77">
        <f t="shared" si="2"/>
        <v>2769.619371600118</v>
      </c>
      <c r="T11" s="64">
        <f t="shared" si="9"/>
        <v>1724.7797487825369</v>
      </c>
      <c r="W11" s="58"/>
    </row>
    <row r="12" spans="1:24">
      <c r="A12" s="17" t="s">
        <v>123</v>
      </c>
      <c r="B12" s="18">
        <v>0.45</v>
      </c>
      <c r="D12" s="17" t="s">
        <v>124</v>
      </c>
      <c r="E12" s="39">
        <f>(E10/E9)^(1/(2045-2025))-1</f>
        <v>-2.8773224069655878E-3</v>
      </c>
      <c r="F12" s="26"/>
      <c r="H12" s="49">
        <v>2026</v>
      </c>
      <c r="I12" s="79">
        <f t="shared" si="10"/>
        <v>17309.10694307505</v>
      </c>
      <c r="J12" s="50">
        <f t="shared" si="4"/>
        <v>454322.84509633185</v>
      </c>
      <c r="K12" s="50">
        <f>IF(H12=Year_Open_to_Traffic?,Calculations!$E$4,K11+(K11*M12))</f>
        <v>357400.63814244774</v>
      </c>
      <c r="L12" s="50">
        <f>IF(AND(H12&gt;=Year_Open_to_Traffic?, Calculations!H12&lt;Year_Open_to_Traffic?+'Inputs &amp; Outputs'!B$21), 1, 0)</f>
        <v>1</v>
      </c>
      <c r="M12" s="65">
        <f t="shared" ref="M12:M36" si="11">IFERROR(_2025_2045_Demand_Growth,_2018_2045_Demand_Growth)</f>
        <v>1.116409294748455E-2</v>
      </c>
      <c r="N12" s="71">
        <f t="shared" ref="N12:N36" si="12">N11*(1+IFERROR(_2025_2045_V_C_Growth,_2018_2045_V_C_Growth))</f>
        <v>0.72608243980932341</v>
      </c>
      <c r="O12" s="72">
        <f t="shared" si="7"/>
        <v>1</v>
      </c>
      <c r="P12" s="68">
        <f t="shared" si="8"/>
        <v>96922.206953884102</v>
      </c>
      <c r="Q12" s="69">
        <f t="shared" si="0"/>
        <v>1</v>
      </c>
      <c r="R12" s="70">
        <f t="shared" si="1"/>
        <v>21.265679592355859</v>
      </c>
      <c r="S12" s="77">
        <f t="shared" si="2"/>
        <v>2864.9520718667727</v>
      </c>
      <c r="T12" s="64">
        <f t="shared" si="9"/>
        <v>1667.428189968932</v>
      </c>
      <c r="W12" s="58"/>
    </row>
    <row r="13" spans="1:24">
      <c r="A13" s="17" t="s">
        <v>55</v>
      </c>
      <c r="B13" s="18">
        <v>0.43</v>
      </c>
      <c r="D13" s="17" t="s">
        <v>125</v>
      </c>
      <c r="E13" s="39">
        <f>(E10/E8)^(1/(2045-2018))-1</f>
        <v>1.7356103796426492E-3</v>
      </c>
      <c r="F13" s="26"/>
      <c r="H13" s="14">
        <f t="shared" si="3"/>
        <v>2027</v>
      </c>
      <c r="I13" s="79">
        <f t="shared" si="10"/>
        <v>17502.347421825489</v>
      </c>
      <c r="J13" s="50">
        <f t="shared" si="4"/>
        <v>459394.94756715291</v>
      </c>
      <c r="K13" s="50">
        <f>IF(H13=Year_Open_to_Traffic?,Calculations!$E$4,K12+(K12*M13))</f>
        <v>361390.6920861603</v>
      </c>
      <c r="L13" s="50">
        <f>IF(AND(H13&gt;=Year_Open_to_Traffic?, Calculations!H13&lt;Year_Open_to_Traffic?+'Inputs &amp; Outputs'!B$21), 1, 0)</f>
        <v>1</v>
      </c>
      <c r="M13" s="65">
        <f t="shared" si="11"/>
        <v>1.116409294748455E-2</v>
      </c>
      <c r="N13" s="71">
        <f t="shared" si="12"/>
        <v>0.72399326653595575</v>
      </c>
      <c r="O13" s="72">
        <f t="shared" si="7"/>
        <v>1</v>
      </c>
      <c r="P13" s="68">
        <f t="shared" si="8"/>
        <v>98004.255480992608</v>
      </c>
      <c r="Q13" s="69">
        <f t="shared" si="0"/>
        <v>1</v>
      </c>
      <c r="R13" s="70">
        <f t="shared" si="1"/>
        <v>21.754790222980041</v>
      </c>
      <c r="S13" s="77">
        <f t="shared" si="2"/>
        <v>2963.5662063381874</v>
      </c>
      <c r="T13" s="64">
        <f t="shared" si="9"/>
        <v>1611.9836580094357</v>
      </c>
      <c r="W13" s="58"/>
    </row>
    <row r="14" spans="1:24">
      <c r="H14" s="49">
        <f>H13+1</f>
        <v>2028</v>
      </c>
      <c r="I14" s="79">
        <f t="shared" si="10"/>
        <v>17697.745255241916</v>
      </c>
      <c r="J14" s="50">
        <f t="shared" si="4"/>
        <v>464523.67546139739</v>
      </c>
      <c r="K14" s="50">
        <f>IF(H14=Year_Open_to_Traffic?,Calculations!$E$4,K13+(K13*M14))</f>
        <v>365425.29136296595</v>
      </c>
      <c r="L14" s="50">
        <f>IF(AND(H14&gt;=Year_Open_to_Traffic?, Calculations!H14&lt;Year_Open_to_Traffic?+'Inputs &amp; Outputs'!B$21), 1, 0)</f>
        <v>1</v>
      </c>
      <c r="M14" s="65">
        <f t="shared" si="11"/>
        <v>1.116409294748455E-2</v>
      </c>
      <c r="N14" s="71">
        <f t="shared" si="12"/>
        <v>0.72191010448765969</v>
      </c>
      <c r="O14" s="72">
        <f t="shared" si="7"/>
        <v>1</v>
      </c>
      <c r="P14" s="68">
        <f t="shared" si="8"/>
        <v>99098.384098431445</v>
      </c>
      <c r="Q14" s="69">
        <f t="shared" si="0"/>
        <v>1</v>
      </c>
      <c r="R14" s="70">
        <f t="shared" si="1"/>
        <v>22.255150398108579</v>
      </c>
      <c r="S14" s="77">
        <f t="shared" si="2"/>
        <v>3065.5747248249713</v>
      </c>
      <c r="T14" s="64">
        <f t="shared" si="9"/>
        <v>1558.3827413508566</v>
      </c>
      <c r="W14" s="58"/>
    </row>
    <row r="15" spans="1:24">
      <c r="H15" s="14">
        <f t="shared" si="3"/>
        <v>2029</v>
      </c>
      <c r="I15" s="79">
        <f t="shared" si="10"/>
        <v>17895.324528232341</v>
      </c>
      <c r="J15" s="50">
        <f t="shared" si="4"/>
        <v>469709.66095055558</v>
      </c>
      <c r="K15" s="50">
        <f>IF(H15=Year_Open_to_Traffic?,Calculations!$E$4,K14+(K14*M15))</f>
        <v>369504.93328110373</v>
      </c>
      <c r="L15" s="50">
        <f>IF(AND(H15&gt;=Year_Open_to_Traffic?, Calculations!H15&lt;Year_Open_to_Traffic?+'Inputs &amp; Outputs'!B$21), 1, 0)</f>
        <v>1</v>
      </c>
      <c r="M15" s="65">
        <f t="shared" si="11"/>
        <v>1.116409294748455E-2</v>
      </c>
      <c r="N15" s="71">
        <f t="shared" si="12"/>
        <v>0.71983293636820245</v>
      </c>
      <c r="O15" s="72">
        <f t="shared" si="7"/>
        <v>1</v>
      </c>
      <c r="P15" s="68">
        <f t="shared" si="8"/>
        <v>100204.72766945185</v>
      </c>
      <c r="Q15" s="69">
        <f t="shared" si="0"/>
        <v>1</v>
      </c>
      <c r="R15" s="70">
        <f t="shared" si="1"/>
        <v>22.767018857265079</v>
      </c>
      <c r="S15" s="77">
        <f t="shared" si="2"/>
        <v>3171.0944649681551</v>
      </c>
      <c r="T15" s="64">
        <f t="shared" si="9"/>
        <v>1506.5641369709188</v>
      </c>
      <c r="W15" s="58"/>
    </row>
    <row r="16" spans="1:24">
      <c r="H16" s="49">
        <f t="shared" si="3"/>
        <v>2030</v>
      </c>
      <c r="I16" s="79">
        <f t="shared" si="10"/>
        <v>18095.109594590926</v>
      </c>
      <c r="J16" s="50">
        <f t="shared" si="4"/>
        <v>474953.54326373903</v>
      </c>
      <c r="K16" s="50">
        <f>IF(H16=Year_Open_to_Traffic?,Calculations!$E$4,K15+(K15*M16))</f>
        <v>373630.12070080807</v>
      </c>
      <c r="L16" s="50">
        <f>IF(AND(H16&gt;=Year_Open_to_Traffic?, Calculations!H16&lt;Year_Open_to_Traffic?+'Inputs &amp; Outputs'!B$21), 1, 0)</f>
        <v>1</v>
      </c>
      <c r="M16" s="65">
        <f t="shared" si="11"/>
        <v>1.116409294748455E-2</v>
      </c>
      <c r="N16" s="71">
        <f t="shared" si="12"/>
        <v>0.71776174493111844</v>
      </c>
      <c r="O16" s="72">
        <f t="shared" si="7"/>
        <v>1</v>
      </c>
      <c r="P16" s="68">
        <f t="shared" si="8"/>
        <v>101323.42256293097</v>
      </c>
      <c r="Q16" s="69">
        <f t="shared" si="0"/>
        <v>1</v>
      </c>
      <c r="R16" s="70">
        <f t="shared" si="1"/>
        <v>23.290660290982171</v>
      </c>
      <c r="S16" s="77">
        <f t="shared" si="2"/>
        <v>3280.2462860616802</v>
      </c>
      <c r="T16" s="64">
        <f t="shared" si="9"/>
        <v>1456.4685802663921</v>
      </c>
      <c r="W16" s="58"/>
    </row>
    <row r="17" spans="1:23">
      <c r="A17" s="27"/>
      <c r="H17" s="14">
        <f t="shared" si="3"/>
        <v>2031</v>
      </c>
      <c r="I17" s="79">
        <f t="shared" si="10"/>
        <v>18297.12507999986</v>
      </c>
      <c r="J17" s="50">
        <f t="shared" si="4"/>
        <v>480255.96876647254</v>
      </c>
      <c r="K17" s="50">
        <f>IF(H17=Year_Open_to_Traffic?,Calculations!$E$4,K16+(K16*M17))</f>
        <v>377801.36209629173</v>
      </c>
      <c r="L17" s="50">
        <f>IF(AND(H17&gt;=Year_Open_to_Traffic?, Calculations!H17&lt;Year_Open_to_Traffic?+'Inputs &amp; Outputs'!B$21), 1, 0)</f>
        <v>1</v>
      </c>
      <c r="M17" s="65">
        <f t="shared" si="11"/>
        <v>1.116409294748455E-2</v>
      </c>
      <c r="N17" s="71">
        <f t="shared" si="12"/>
        <v>0.71569651297956538</v>
      </c>
      <c r="O17" s="72">
        <f t="shared" si="7"/>
        <v>1</v>
      </c>
      <c r="P17" s="68">
        <f t="shared" si="8"/>
        <v>102454.6066701808</v>
      </c>
      <c r="Q17" s="69">
        <f t="shared" si="0"/>
        <v>1</v>
      </c>
      <c r="R17" s="70">
        <f t="shared" si="1"/>
        <v>23.82634547767476</v>
      </c>
      <c r="S17" s="77">
        <f t="shared" si="2"/>
        <v>3393.1552074811816</v>
      </c>
      <c r="T17" s="64">
        <f t="shared" si="9"/>
        <v>1408.0387772725448</v>
      </c>
      <c r="W17" s="58"/>
    </row>
    <row r="18" spans="1:23">
      <c r="H18" s="49">
        <f t="shared" si="3"/>
        <v>2032</v>
      </c>
      <c r="I18" s="79">
        <f t="shared" si="10"/>
        <v>18501.395885064729</v>
      </c>
      <c r="J18" s="50">
        <f t="shared" si="4"/>
        <v>485617.59104036569</v>
      </c>
      <c r="K18" s="50">
        <f>IF(H18=Year_Open_to_Traffic?,Calculations!$E$4,K17+(K17*M18))</f>
        <v>382019.17161842098</v>
      </c>
      <c r="L18" s="50">
        <f>IF(AND(H18&gt;=Year_Open_to_Traffic?, Calculations!H18&lt;Year_Open_to_Traffic?+'Inputs &amp; Outputs'!B$21), 1, 0)</f>
        <v>1</v>
      </c>
      <c r="M18" s="65">
        <f t="shared" si="11"/>
        <v>1.116409294748455E-2</v>
      </c>
      <c r="N18" s="71">
        <f t="shared" si="12"/>
        <v>0.71363722336618218</v>
      </c>
      <c r="O18" s="72">
        <f t="shared" si="7"/>
        <v>1</v>
      </c>
      <c r="P18" s="68">
        <f t="shared" si="8"/>
        <v>103598.41942194471</v>
      </c>
      <c r="Q18" s="69">
        <f t="shared" si="0"/>
        <v>1</v>
      </c>
      <c r="R18" s="70">
        <f t="shared" si="1"/>
        <v>24.374351423661277</v>
      </c>
      <c r="S18" s="77">
        <f t="shared" si="2"/>
        <v>3509.9505518776073</v>
      </c>
      <c r="T18" s="64">
        <f t="shared" si="9"/>
        <v>1361.2193391364106</v>
      </c>
      <c r="W18" s="58"/>
    </row>
    <row r="19" spans="1:23">
      <c r="H19" s="14">
        <f t="shared" si="3"/>
        <v>2033</v>
      </c>
      <c r="I19" s="79">
        <f t="shared" si="10"/>
        <v>18707.947188383798</v>
      </c>
      <c r="J19" s="50">
        <f t="shared" si="4"/>
        <v>491039.07096367388</v>
      </c>
      <c r="K19" s="50">
        <f>IF(H19=Year_Open_to_Traffic?,Calculations!$E$4,K18+(K18*M19))</f>
        <v>386284.0691580901</v>
      </c>
      <c r="L19" s="50">
        <f>IF(AND(H19&gt;=Year_Open_to_Traffic?, Calculations!H19&lt;Year_Open_to_Traffic?+'Inputs &amp; Outputs'!B$21), 1, 0)</f>
        <v>1</v>
      </c>
      <c r="M19" s="65">
        <f t="shared" si="11"/>
        <v>1.116409294748455E-2</v>
      </c>
      <c r="N19" s="71">
        <f t="shared" si="12"/>
        <v>0.71158385899294596</v>
      </c>
      <c r="O19" s="72">
        <f t="shared" si="7"/>
        <v>1</v>
      </c>
      <c r="P19" s="68">
        <f t="shared" si="8"/>
        <v>104755.00180558377</v>
      </c>
      <c r="Q19" s="69">
        <f t="shared" si="0"/>
        <v>1</v>
      </c>
      <c r="R19" s="70">
        <f t="shared" si="1"/>
        <v>24.934961506405479</v>
      </c>
      <c r="S19" s="77">
        <f t="shared" si="2"/>
        <v>3630.7660932996782</v>
      </c>
      <c r="T19" s="64">
        <f t="shared" si="9"/>
        <v>1315.9567187689086</v>
      </c>
      <c r="W19" s="58"/>
    </row>
    <row r="20" spans="1:23">
      <c r="H20" s="49">
        <f t="shared" si="3"/>
        <v>2034</v>
      </c>
      <c r="I20" s="79">
        <f t="shared" si="10"/>
        <v>18916.804449651547</v>
      </c>
      <c r="J20" s="50">
        <f t="shared" si="4"/>
        <v>496521.07679275877</v>
      </c>
      <c r="K20" s="50">
        <f>IF(H20=Year_Open_to_Traffic?,Calculations!$E$4,K19+(K19*M20))</f>
        <v>390596.58041030355</v>
      </c>
      <c r="L20" s="50">
        <f>IF(AND(H20&gt;=Year_Open_to_Traffic?, Calculations!H20&lt;Year_Open_to_Traffic?+'Inputs &amp; Outputs'!B$21), 1, 0)</f>
        <v>1</v>
      </c>
      <c r="M20" s="65">
        <f t="shared" si="11"/>
        <v>1.116409294748455E-2</v>
      </c>
      <c r="N20" s="71">
        <f t="shared" si="12"/>
        <v>0.70953640281103048</v>
      </c>
      <c r="O20" s="72">
        <f t="shared" si="7"/>
        <v>1</v>
      </c>
      <c r="P20" s="68">
        <f t="shared" si="8"/>
        <v>105924.49638245523</v>
      </c>
      <c r="Q20" s="69">
        <f t="shared" si="0"/>
        <v>1</v>
      </c>
      <c r="R20" s="70">
        <f t="shared" si="1"/>
        <v>25.508465621052807</v>
      </c>
      <c r="S20" s="77">
        <f t="shared" si="2"/>
        <v>3755.7402104148759</v>
      </c>
      <c r="T20" s="64">
        <f t="shared" si="9"/>
        <v>1272.1991496033929</v>
      </c>
      <c r="W20" s="58"/>
    </row>
    <row r="21" spans="1:23">
      <c r="H21" s="14">
        <f t="shared" si="3"/>
        <v>2035</v>
      </c>
      <c r="I21" s="79">
        <f t="shared" si="10"/>
        <v>19127.993412796844</v>
      </c>
      <c r="J21" s="50">
        <f t="shared" si="4"/>
        <v>502064.28424445825</v>
      </c>
      <c r="K21" s="50">
        <f>IF(H21=Year_Open_to_Traffic?,Calculations!$E$4,K20+(K20*M21))</f>
        <v>394957.23693897377</v>
      </c>
      <c r="L21" s="50">
        <f>IF(AND(H21&gt;=Year_Open_to_Traffic?, Calculations!H21&lt;Year_Open_to_Traffic?+'Inputs &amp; Outputs'!B$21), 1, 0)</f>
        <v>1</v>
      </c>
      <c r="M21" s="65">
        <f t="shared" si="11"/>
        <v>1.116409294748455E-2</v>
      </c>
      <c r="N21" s="71">
        <f t="shared" si="12"/>
        <v>0.70749483782066458</v>
      </c>
      <c r="O21" s="72">
        <f t="shared" si="7"/>
        <v>1</v>
      </c>
      <c r="P21" s="68">
        <f t="shared" si="8"/>
        <v>107107.04730548448</v>
      </c>
      <c r="Q21" s="69">
        <f t="shared" si="0"/>
        <v>1</v>
      </c>
      <c r="R21" s="70">
        <f t="shared" si="1"/>
        <v>26.095160330337016</v>
      </c>
      <c r="S21" s="77">
        <f t="shared" si="2"/>
        <v>3885.0160450043963</v>
      </c>
      <c r="T21" s="64">
        <f t="shared" si="9"/>
        <v>1229.8965863905548</v>
      </c>
      <c r="W21" s="58"/>
    </row>
    <row r="22" spans="1:23">
      <c r="H22" s="49">
        <f>H21+1</f>
        <v>2036</v>
      </c>
      <c r="I22" s="79">
        <f t="shared" si="10"/>
        <v>19341.54010915618</v>
      </c>
      <c r="J22" s="50">
        <f t="shared" si="4"/>
        <v>507669.3765793757</v>
      </c>
      <c r="K22" s="50">
        <f>IF(H22=Year_Open_to_Traffic?,Calculations!$E$4,K21+(K21*M22))</f>
        <v>399366.57624244213</v>
      </c>
      <c r="L22" s="50">
        <f>IF(AND(H22&gt;=Year_Open_to_Traffic?, Calculations!H22&lt;Year_Open_to_Traffic?+'Inputs &amp; Outputs'!B$21), 1, 0)</f>
        <v>1</v>
      </c>
      <c r="M22" s="65">
        <f t="shared" si="11"/>
        <v>1.116409294748455E-2</v>
      </c>
      <c r="N22" s="71">
        <f t="shared" si="12"/>
        <v>0.70545914707099067</v>
      </c>
      <c r="O22" s="72">
        <f t="shared" si="7"/>
        <v>1</v>
      </c>
      <c r="P22" s="68">
        <f t="shared" si="8"/>
        <v>108302.80033693358</v>
      </c>
      <c r="Q22" s="69">
        <f t="shared" si="0"/>
        <v>1</v>
      </c>
      <c r="R22" s="70">
        <f t="shared" si="1"/>
        <v>26.695349017934767</v>
      </c>
      <c r="S22" s="77">
        <f t="shared" si="2"/>
        <v>4018.7416659136611</v>
      </c>
      <c r="T22" s="64">
        <f t="shared" si="9"/>
        <v>1189.0006479619999</v>
      </c>
      <c r="W22" s="58"/>
    </row>
    <row r="23" spans="1:23">
      <c r="H23" s="14">
        <f t="shared" si="3"/>
        <v>2037</v>
      </c>
      <c r="I23" s="79">
        <f t="shared" si="10"/>
        <v>19557.470860682301</v>
      </c>
      <c r="J23" s="50">
        <f t="shared" si="4"/>
        <v>513337.0446860994</v>
      </c>
      <c r="K23" s="50">
        <f>IF(H23=Year_Open_to_Traffic?,Calculations!$E$4,K22+(K22*M23))</f>
        <v>403825.14181973145</v>
      </c>
      <c r="L23" s="50">
        <f>IF(AND(H23&gt;=Year_Open_to_Traffic?, Calculations!H23&lt;Year_Open_to_Traffic?+'Inputs &amp; Outputs'!B$21), 1, 0)</f>
        <v>1</v>
      </c>
      <c r="M23" s="65">
        <f t="shared" si="11"/>
        <v>1.116409294748455E-2</v>
      </c>
      <c r="N23" s="71">
        <f t="shared" si="12"/>
        <v>0.70342931365992445</v>
      </c>
      <c r="O23" s="72">
        <f t="shared" si="7"/>
        <v>1</v>
      </c>
      <c r="P23" s="68">
        <f t="shared" si="8"/>
        <v>109511.90286636795</v>
      </c>
      <c r="Q23" s="69">
        <f t="shared" si="0"/>
        <v>1</v>
      </c>
      <c r="R23" s="70">
        <f t="shared" si="1"/>
        <v>27.309342045347261</v>
      </c>
      <c r="S23" s="77">
        <f t="shared" si="2"/>
        <v>4157.0702386461371</v>
      </c>
      <c r="T23" s="64">
        <f t="shared" si="9"/>
        <v>1149.464561897016</v>
      </c>
      <c r="W23" s="58"/>
    </row>
    <row r="24" spans="1:23">
      <c r="H24" s="49">
        <f t="shared" si="3"/>
        <v>2038</v>
      </c>
      <c r="I24" s="79">
        <f t="shared" si="10"/>
        <v>19775.812283188679</v>
      </c>
      <c r="J24" s="50">
        <f t="shared" si="4"/>
        <v>519067.98716636206</v>
      </c>
      <c r="K24" s="50">
        <f>IF(H24=Year_Open_to_Traffic?,Calculations!$E$4,K23+(K23*M24))</f>
        <v>408333.48323753808</v>
      </c>
      <c r="L24" s="50">
        <f>IF(AND(H24&gt;=Year_Open_to_Traffic?, Calculations!H24&lt;Year_Open_to_Traffic?+'Inputs &amp; Outputs'!B$21), 1, 0)</f>
        <v>1</v>
      </c>
      <c r="M24" s="65">
        <f t="shared" si="11"/>
        <v>1.116409294748455E-2</v>
      </c>
      <c r="N24" s="71">
        <f t="shared" si="12"/>
        <v>0.70140532073401429</v>
      </c>
      <c r="O24" s="72">
        <f t="shared" si="7"/>
        <v>1</v>
      </c>
      <c r="P24" s="68">
        <f>(J24-K24)*L24</f>
        <v>110734.50392882398</v>
      </c>
      <c r="Q24" s="69">
        <f t="shared" si="0"/>
        <v>1</v>
      </c>
      <c r="R24" s="70">
        <f t="shared" si="1"/>
        <v>27.93745691239025</v>
      </c>
      <c r="S24" s="77">
        <f t="shared" si="2"/>
        <v>4300.1602007947349</v>
      </c>
      <c r="T24" s="64">
        <f t="shared" si="9"/>
        <v>1111.2431110292607</v>
      </c>
      <c r="W24" s="58"/>
    </row>
    <row r="25" spans="1:23">
      <c r="H25" s="14">
        <f t="shared" si="3"/>
        <v>2039</v>
      </c>
      <c r="I25" s="79">
        <f t="shared" si="10"/>
        <v>19996.591289630203</v>
      </c>
      <c r="J25" s="50">
        <f t="shared" si="4"/>
        <v>524862.91042115109</v>
      </c>
      <c r="K25" s="50">
        <f>IF(H25=Year_Open_to_Traffic?,Calculations!$E$4,K24+(K24*M25))</f>
        <v>412892.15619797207</v>
      </c>
      <c r="L25" s="50">
        <f>IF(AND(H25&gt;=Year_Open_to_Traffic?, Calculations!H25&lt;Year_Open_to_Traffic?+'Inputs &amp; Outputs'!B$21), 1, 0)</f>
        <v>1</v>
      </c>
      <c r="M25" s="65">
        <f t="shared" si="11"/>
        <v>1.116409294748455E-2</v>
      </c>
      <c r="N25" s="71">
        <f t="shared" si="12"/>
        <v>0.69938715148830144</v>
      </c>
      <c r="O25" s="72">
        <f t="shared" si="7"/>
        <v>1</v>
      </c>
      <c r="P25" s="68">
        <f t="shared" si="8"/>
        <v>111970.75422317901</v>
      </c>
      <c r="Q25" s="69">
        <f t="shared" si="0"/>
        <v>1</v>
      </c>
      <c r="R25" s="70">
        <f t="shared" si="1"/>
        <v>28.580018421375218</v>
      </c>
      <c r="S25" s="77">
        <f t="shared" si="2"/>
        <v>4448.1754435116882</v>
      </c>
      <c r="T25" s="64">
        <f t="shared" si="9"/>
        <v>1074.2925817321761</v>
      </c>
      <c r="W25" s="58"/>
    </row>
    <row r="26" spans="1:23">
      <c r="H26" s="49">
        <f t="shared" si="3"/>
        <v>2040</v>
      </c>
      <c r="I26" s="79">
        <f t="shared" si="10"/>
        <v>20219.835093420494</v>
      </c>
      <c r="J26" s="50">
        <f t="shared" si="4"/>
        <v>530722.52873778006</v>
      </c>
      <c r="K26" s="50">
        <f>IF(H26=Year_Open_to_Traffic?,Calculations!$E$4,K25+(K25*M26))</f>
        <v>417501.72260705353</v>
      </c>
      <c r="L26" s="50">
        <f>IF(AND(H26&gt;=Year_Open_to_Traffic?, Calculations!H26&lt;Year_Open_to_Traffic?+'Inputs &amp; Outputs'!B$21), 1, 0)</f>
        <v>1</v>
      </c>
      <c r="M26" s="65">
        <f t="shared" si="11"/>
        <v>1.116409294748455E-2</v>
      </c>
      <c r="N26" s="71">
        <f t="shared" si="12"/>
        <v>0.69737478916618034</v>
      </c>
      <c r="O26" s="72">
        <f t="shared" si="7"/>
        <v>1</v>
      </c>
      <c r="P26" s="68">
        <f t="shared" si="8"/>
        <v>113220.80613072653</v>
      </c>
      <c r="Q26" s="69">
        <f t="shared" si="0"/>
        <v>1</v>
      </c>
      <c r="R26" s="70">
        <f t="shared" si="1"/>
        <v>29.237358845066851</v>
      </c>
      <c r="S26" s="77">
        <f t="shared" si="2"/>
        <v>4601.2854992247967</v>
      </c>
      <c r="T26" s="64">
        <f t="shared" si="9"/>
        <v>1038.5707139239985</v>
      </c>
      <c r="W26" s="58"/>
    </row>
    <row r="27" spans="1:23">
      <c r="H27" s="14">
        <f t="shared" si="3"/>
        <v>2041</v>
      </c>
      <c r="I27" s="79">
        <f t="shared" si="10"/>
        <v>20445.571211786249</v>
      </c>
      <c r="J27" s="50">
        <f t="shared" si="4"/>
        <v>536647.56437793269</v>
      </c>
      <c r="K27" s="50">
        <f>IF(H27=Year_Open_to_Traffic?,Calculations!$E$4,K26+(K26*M27))</f>
        <v>422162.75064397359</v>
      </c>
      <c r="L27" s="50">
        <f>IF(AND(H27&gt;=Year_Open_to_Traffic?, Calculations!H27&lt;Year_Open_to_Traffic?+'Inputs &amp; Outputs'!B$21), 1, 0)</f>
        <v>1</v>
      </c>
      <c r="M27" s="65">
        <f t="shared" si="11"/>
        <v>1.116409294748455E-2</v>
      </c>
      <c r="N27" s="71">
        <f t="shared" si="12"/>
        <v>0.69536821705925955</v>
      </c>
      <c r="O27" s="72">
        <f t="shared" si="7"/>
        <v>1</v>
      </c>
      <c r="P27" s="68">
        <f t="shared" si="8"/>
        <v>114484.8137339591</v>
      </c>
      <c r="Q27" s="69">
        <f t="shared" si="0"/>
        <v>1</v>
      </c>
      <c r="R27" s="70">
        <f t="shared" si="1"/>
        <v>29.909818098503379</v>
      </c>
      <c r="S27" s="77">
        <f t="shared" si="2"/>
        <v>4759.6657358150242</v>
      </c>
      <c r="T27" s="64">
        <f t="shared" si="9"/>
        <v>1004.036652735175</v>
      </c>
      <c r="W27" s="58"/>
    </row>
    <row r="28" spans="1:23">
      <c r="H28" s="49">
        <f t="shared" si="3"/>
        <v>2042</v>
      </c>
      <c r="I28" s="79">
        <f t="shared" si="10"/>
        <v>20673.827469159045</v>
      </c>
      <c r="J28" s="50">
        <f t="shared" si="4"/>
        <v>542638.7476666891</v>
      </c>
      <c r="K28" s="50">
        <f>IF(H28=Year_Open_to_Traffic?,Calculations!$E$4,K27+(K27*M28))</f>
        <v>426875.81483112863</v>
      </c>
      <c r="L28" s="50">
        <f>IF(AND(H28&gt;=Year_Open_to_Traffic?, Calculations!H28&lt;Year_Open_to_Traffic?+'Inputs &amp; Outputs'!B$21), 1, 0)</f>
        <v>1</v>
      </c>
      <c r="M28" s="65">
        <f t="shared" si="11"/>
        <v>1.116409294748455E-2</v>
      </c>
      <c r="N28" s="71">
        <f t="shared" si="12"/>
        <v>0.69336741850722328</v>
      </c>
      <c r="O28" s="72">
        <f t="shared" si="7"/>
        <v>1</v>
      </c>
      <c r="P28" s="68">
        <f t="shared" si="8"/>
        <v>115762.93283556047</v>
      </c>
      <c r="Q28" s="69">
        <f t="shared" si="0"/>
        <v>1</v>
      </c>
      <c r="R28" s="70">
        <f t="shared" si="1"/>
        <v>30.597743914768959</v>
      </c>
      <c r="S28" s="77">
        <f t="shared" si="2"/>
        <v>4923.4975574778582</v>
      </c>
      <c r="T28" s="64">
        <f t="shared" si="9"/>
        <v>970.6509017829145</v>
      </c>
      <c r="W28" s="58"/>
    </row>
    <row r="29" spans="1:23">
      <c r="H29" s="14">
        <f t="shared" si="3"/>
        <v>2043</v>
      </c>
      <c r="I29" s="79">
        <f t="shared" si="10"/>
        <v>20904.632000604997</v>
      </c>
      <c r="J29" s="50">
        <f t="shared" si="4"/>
        <v>548696.81708254665</v>
      </c>
      <c r="K29" s="50">
        <f>IF(H29=Year_Open_to_Traffic?,Calculations!$E$4,K28+(K28*M29))</f>
        <v>431641.49610493658</v>
      </c>
      <c r="L29" s="50">
        <f>IF(AND(H29&gt;=Year_Open_to_Traffic?, Calculations!H29&lt;Year_Open_to_Traffic?+'Inputs &amp; Outputs'!B$21), 1, 0)</f>
        <v>1</v>
      </c>
      <c r="M29" s="65">
        <f t="shared" si="11"/>
        <v>1.116409294748455E-2</v>
      </c>
      <c r="N29" s="71">
        <f t="shared" si="12"/>
        <v>0.6913723768976926</v>
      </c>
      <c r="O29" s="72">
        <f t="shared" si="7"/>
        <v>1</v>
      </c>
      <c r="P29" s="68">
        <f t="shared" si="8"/>
        <v>117055.32097761007</v>
      </c>
      <c r="Q29" s="69">
        <f t="shared" si="0"/>
        <v>1</v>
      </c>
      <c r="R29" s="70">
        <f t="shared" si="1"/>
        <v>31.301492024808638</v>
      </c>
      <c r="S29" s="77">
        <f t="shared" si="2"/>
        <v>5092.9686124984864</v>
      </c>
      <c r="T29" s="64">
        <f t="shared" si="9"/>
        <v>938.37527799942779</v>
      </c>
      <c r="W29" s="58"/>
    </row>
    <row r="30" spans="1:23">
      <c r="H30" s="14">
        <f t="shared" si="3"/>
        <v>2044</v>
      </c>
      <c r="I30" s="79">
        <f t="shared" si="10"/>
        <v>21138.01325529271</v>
      </c>
      <c r="J30" s="50">
        <f t="shared" si="4"/>
        <v>554822.51934844512</v>
      </c>
      <c r="K30" s="50">
        <f>IF(H30=Year_Open_to_Traffic?,Calculations!$E$4,K29+(K29*M30))</f>
        <v>436460.38188744336</v>
      </c>
      <c r="L30" s="50">
        <f>IF(AND(H30&gt;=Year_Open_to_Traffic?, Calculations!H30&lt;Year_Open_to_Traffic?+'Inputs &amp; Outputs'!B$21), 1, 0)</f>
        <v>0</v>
      </c>
      <c r="M30" s="65">
        <f t="shared" si="11"/>
        <v>1.116409294748455E-2</v>
      </c>
      <c r="N30" s="71">
        <f t="shared" si="12"/>
        <v>0.68938307566608781</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21373.999999999956</v>
      </c>
      <c r="J31" s="50">
        <f t="shared" si="4"/>
        <v>561016.6095238087</v>
      </c>
      <c r="K31" s="50">
        <f>IF(H31=Year_Open_to_Traffic?,Calculations!$E$4,K30+(K30*M31))</f>
        <v>441333.06615872937</v>
      </c>
      <c r="L31" s="50">
        <f>IF(AND(H31&gt;=Year_Open_to_Traffic?, Calculations!H31&lt;Year_Open_to_Traffic?+'Inputs &amp; Outputs'!B$21), 1, 0)</f>
        <v>0</v>
      </c>
      <c r="M31" s="65">
        <f t="shared" si="11"/>
        <v>1.116409294748455E-2</v>
      </c>
      <c r="N31" s="71">
        <f t="shared" si="12"/>
        <v>0.68739949829549096</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21612.621322659492</v>
      </c>
      <c r="J32" s="50">
        <f t="shared" si="4"/>
        <v>567279.8510976152</v>
      </c>
      <c r="K32" s="50">
        <f>IF(H32=Year_Open_to_Traffic?,Calculations!$E$4,K31+(K31*M32))</f>
        <v>446260.1495301238</v>
      </c>
      <c r="L32" s="50">
        <f>IF(AND(H32&gt;=Year_Open_to_Traffic?, Calculations!H32&lt;Year_Open_to_Traffic?+'Inputs &amp; Outputs'!B$21), 1, 0)</f>
        <v>0</v>
      </c>
      <c r="M32" s="65">
        <f t="shared" si="11"/>
        <v>1.116409294748455E-2</v>
      </c>
      <c r="N32" s="71">
        <f t="shared" si="12"/>
        <v>0.68542162831650844</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21853.906635944448</v>
      </c>
      <c r="J33" s="50">
        <f t="shared" si="4"/>
        <v>573613.01608250418</v>
      </c>
      <c r="K33" s="50">
        <f>IF(H33=Year_Open_to_Traffic?,Calculations!$E$4,K32+(K32*M33))</f>
        <v>451242.23931823648</v>
      </c>
      <c r="L33" s="50">
        <f>IF(AND(H33&gt;=Year_Open_to_Traffic?, Calculations!H33&lt;Year_Open_to_Traffic?+'Inputs &amp; Outputs'!B$21), 1, 0)</f>
        <v>0</v>
      </c>
      <c r="M33" s="65">
        <f t="shared" si="11"/>
        <v>1.116409294748455E-2</v>
      </c>
      <c r="N33" s="71">
        <f t="shared" si="12"/>
        <v>0.68344944930713447</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22097.885680893782</v>
      </c>
      <c r="J34" s="50">
        <f t="shared" si="4"/>
        <v>580016.88510993624</v>
      </c>
      <c r="K34" s="50">
        <f>IF(H34=Year_Open_to_Traffic?,Calculations!$E$4,K33+(K33*M34))</f>
        <v>456279.94961981633</v>
      </c>
      <c r="L34" s="50">
        <f>IF(AND(H34&gt;=Year_Open_to_Traffic?, Calculations!H34&lt;Year_Open_to_Traffic?+'Inputs &amp; Outputs'!B$21), 1, 0)</f>
        <v>0</v>
      </c>
      <c r="M34" s="65">
        <f t="shared" si="11"/>
        <v>1.116409294748455E-2</v>
      </c>
      <c r="N34" s="71">
        <f t="shared" si="12"/>
        <v>0.68148294489261474</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22344.588530578167</v>
      </c>
      <c r="J35" s="50">
        <f t="shared" si="4"/>
        <v>586492.24752641399</v>
      </c>
      <c r="K35" s="50">
        <f>IF(H35=Year_Open_to_Traffic?,Calculations!$E$4,K34+(K34*M35))</f>
        <v>461373.90138744551</v>
      </c>
      <c r="L35" s="50">
        <f>IF(AND(H35&gt;=Year_Open_to_Traffic?, Calculations!H35&lt;Year_Open_to_Traffic?+'Inputs &amp; Outputs'!B$21), 1, 0)</f>
        <v>0</v>
      </c>
      <c r="M35" s="65">
        <f t="shared" si="11"/>
        <v>1.116409294748455E-2</v>
      </c>
      <c r="N35" s="71">
        <f t="shared" si="12"/>
        <v>0.67952209874531033</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22594.045593806837</v>
      </c>
      <c r="J36" s="50">
        <f t="shared" si="4"/>
        <v>593039.90149077796</v>
      </c>
      <c r="K36" s="50">
        <f>IF(H36=Year_Open_to_Traffic?,Calculations!$E$4,K35+(K35*M36))</f>
        <v>466524.72250607854</v>
      </c>
      <c r="L36" s="50">
        <f>IF(AND(H36&gt;=Year_Open_to_Traffic?, Calculations!H36&lt;Year_Open_to_Traffic?+'Inputs &amp; Outputs'!B$21), 1, 0)</f>
        <v>0</v>
      </c>
      <c r="M36" s="65">
        <f t="shared" si="11"/>
        <v>1.116409294748455E-2</v>
      </c>
      <c r="N36" s="71">
        <f t="shared" si="12"/>
        <v>0.67756689458456221</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26365.85509307641</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2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2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5">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52</v>
      </c>
      <c r="N5" s="44" t="s">
        <v>123</v>
      </c>
    </row>
    <row r="6" spans="2:14">
      <c r="B6" s="73" t="s">
        <v>157</v>
      </c>
      <c r="C6" s="81">
        <v>0.3</v>
      </c>
      <c r="D6" s="74">
        <v>0.2</v>
      </c>
      <c r="E6" s="74">
        <v>0.1</v>
      </c>
      <c r="F6" s="74">
        <v>0.3</v>
      </c>
      <c r="G6" s="91">
        <v>0.2</v>
      </c>
      <c r="H6" s="93"/>
      <c r="L6" s="44" t="s">
        <v>158</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663423-ADF8-4E3D-B6E9-D2828DF9F09F}"/>
</file>

<file path=customXml/itemProps2.xml><?xml version="1.0" encoding="utf-8"?>
<ds:datastoreItem xmlns:ds="http://schemas.openxmlformats.org/officeDocument/2006/customXml" ds:itemID="{5016D1CA-F3C8-4E38-9B94-38AC1A6D8D4B}"/>
</file>

<file path=customXml/itemProps3.xml><?xml version="1.0" encoding="utf-8"?>
<ds:datastoreItem xmlns:ds="http://schemas.openxmlformats.org/officeDocument/2006/customXml" ds:itemID="{74FC276E-7E48-48B7-BEB2-632D019BD46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2018-10-30T14:22:08Z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