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2_HW_IH10/"/>
    </mc:Choice>
  </mc:AlternateContent>
  <xr:revisionPtr revIDLastSave="10" documentId="8_{D2E7A01D-23B2-43C0-8872-DA769E1ED2BA}" xr6:coauthVersionLast="40" xr6:coauthVersionMax="40" xr10:uidLastSave="{AA6BC4E2-1C99-46EC-A554-78A5B5FA6848}"/>
  <bookViews>
    <workbookView xWindow="0" yWindow="0" windowWidth="28800" windowHeight="1156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<sst xmlns="http://schemas.openxmlformats.org/spreadsheetml/2006/main" count="263" uniqueCount="131">
  <si>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</si>
  <si>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</si>
  <si>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</si>
  <si>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</si>
  <si>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</si>
  <si>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</si>
  <si>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</si>
  <si>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</si>
  <si>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</si>
  <si>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</si>
  <si>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</si>
  <si>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</si>
  <si>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</si>
  <si>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</si>
  <si>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</si>
  <si>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</si>
  <si>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</si>
  <si>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</si>
  <si>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</si>
  <si>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</si>
  <si>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</si>
  <si>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</si>
  <si>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</si>
  <si>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</si>
  <si>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</si>
  <si>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</si>
  <si>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</si>
  <si>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</si>
  <si>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</si>
  <si>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</si>
  <si>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</si>
  <si>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</si>
  <si>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</si>
  <si>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</si>
  <si>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</si>
  <si>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</si>
  <si>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</si>
  <si>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</si>
  <si>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</si>
  <si>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</si>
  <si>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</si>
  <si>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</si>
  <si>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</si>
  <si>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</si>
  <si>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</si>
  <si>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</si>
  <si>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</si>
  <si>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IH 10 Baytown Ramp Reversal</t>
  </si>
  <si>
    <t>Data entered by the sponsors</t>
  </si>
  <si>
    <t>Application ID Number:</t>
  </si>
  <si>
    <t>Data populated/calculated based on inputs</t>
  </si>
  <si>
    <t>Sponsor ID Number (CSJ, etc.):</t>
  </si>
  <si>
    <t>0508-01-359</t>
  </si>
  <si>
    <t xml:space="preserve">HGAC regional travel demand model data provided by HGAC </t>
  </si>
  <si>
    <t>Project County</t>
  </si>
  <si>
    <t>Harris</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</si>
  <si>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</si>
  <si>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</si>
  <si>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</si>
  <si>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</si>
  <si>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</si>
  <si>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</si>
  <si>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</si>
  <si>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</si>
  <si>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</si>
  <si>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</si>
  <si>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</si>
  <si>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</si>
  <si>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</si>
  <si>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</si>
  <si>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</si>
  <si>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</si>
  <si>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</si>
  <si>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</si>
  <si>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</si>
  <si>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</si>
  <si>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</si>
  <si>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</si>
  <si>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</si>
  <si>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</si>
  <si>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</si>
  <si>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</si>
  <si>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</si>
  <si>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</si>
  <si>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</si>
  <si>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</si>
  <si>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</si>
  <si>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</si>
  <si>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</si>
  <si>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</si>
  <si>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</si>
  <si>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</si>
  <si>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</si>
  <si>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</si>
  <si>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</si>
  <si>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</si>
  <si>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</si>
  <si>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</si>
  <si>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</si>
  <si>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</si>
  <si>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</si>
  <si>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</si>
  <si>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</si>
  <si>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</si>
  <si>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</si>
  <si>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</si>
  <si>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</si>
  <si>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</si>
  <si>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</si>
  <si>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</si>
  <si>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</si>
  <si>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</si>
  <si>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</si>
  <si>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</si>
  <si>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</si>
  <si>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</si>
  <si>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</si>
  <si>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</si>
  <si>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Liberty</t>
  </si>
  <si>
    <t>Montgomery</t>
  </si>
  <si>
    <t>Waller</t>
  </si>
  <si>
    <t>Facility Types</t>
  </si>
  <si>
    <t>All emissions rate are in gms/miles</t>
  </si>
  <si>
    <t>Non-Freeway</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</si>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</sst>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color rgb="FF00000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DCE6F1"/>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13" borderId="1" xfId="0" applyNumberFormat="1" applyFill="1" applyBorder="1" applyAlignment="1" applyProtection="1">
      <alignment vertical="center"/>
      <protection locked="0"/>
    </xf>
    <xf numFmtId="3" fontId="10" fillId="16" borderId="1" xfId="0" applyNumberFormat="1" applyFon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xr3:uid="{51F8DEE0-4D01-5F28-A812-FC0BD7CAC4A5}">
      <selection activeCell="O19" sqref="O19"/>
    </sheetView>
  </sheetViews>
  <sheetFormatPr defaultColWidth="9.140625"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2022</v>
      </c>
    </row>
    <row r="14" spans="1:5">
      <c r="A14" s="5" t="s">
        <v>59</v>
      </c>
      <c r="B14" s="5" t="s">
        <v>60</v>
      </c>
    </row>
    <row r="15" spans="1:5">
      <c r="A15" s="85" t="s">
        <v>61</v>
      </c>
      <c r="B15" s="8" t="s">
        <v>62</v>
      </c>
    </row>
    <row r="16" spans="1:5">
      <c r="A16" s="85" t="s">
        <v>63</v>
      </c>
      <c r="B16" s="8">
        <v>0.96</v>
      </c>
    </row>
    <row r="17" spans="1:2">
      <c r="A17" s="86" t="s">
        <v>64</v>
      </c>
      <c r="B17" s="8">
        <v>64</v>
      </c>
    </row>
    <row r="18" spans="1:2">
      <c r="A18" s="86" t="s">
        <v>65</v>
      </c>
      <c r="B18" s="8">
        <v>52</v>
      </c>
    </row>
    <row r="19" spans="1:2">
      <c r="A19" s="76" t="s">
        <v>66</v>
      </c>
      <c r="B19" s="77">
        <f>VLOOKUP(B14,'Service Life'!C6:D8,2,FALSE)</f>
        <v>20</v>
      </c>
    </row>
    <row r="21" spans="1:2">
      <c r="A21" s="81" t="s">
        <v>67</v>
      </c>
    </row>
    <row r="22" spans="1:2" ht="20.25" customHeight="1">
      <c r="A22" s="86" t="s">
        <v>68</v>
      </c>
      <c r="B22" s="96">
        <v>41852</v>
      </c>
    </row>
    <row r="23" spans="1:2" ht="30">
      <c r="A23" s="94" t="s">
        <v>69</v>
      </c>
      <c r="B23" s="95">
        <v>51887</v>
      </c>
    </row>
    <row r="24" spans="1:2" ht="30">
      <c r="A24" s="94" t="s">
        <v>70</v>
      </c>
      <c r="B24" s="95">
        <v>79212</v>
      </c>
    </row>
    <row r="27" spans="1:2" ht="18.75">
      <c r="A27" s="79" t="s">
        <v>71</v>
      </c>
      <c r="B27" s="80"/>
    </row>
    <row r="29" spans="1:2">
      <c r="A29" s="87" t="s">
        <v>72</v>
      </c>
    </row>
    <row r="30" spans="1:2">
      <c r="A30" s="84" t="s">
        <v>73</v>
      </c>
      <c r="B30" s="35">
        <f>'Benefit Calculations'!M37</f>
        <v>8389.7475225966064</v>
      </c>
    </row>
    <row r="31" spans="1:2">
      <c r="A31" s="84" t="s">
        <v>74</v>
      </c>
      <c r="B31" s="35">
        <f>'Benefit Calculations'!Q37</f>
        <v>293.84538808553845</v>
      </c>
    </row>
    <row r="32" spans="1:2">
      <c r="B32" s="88"/>
    </row>
    <row r="33" spans="1:9">
      <c r="A33" s="87" t="s">
        <v>75</v>
      </c>
      <c r="B33" s="88"/>
    </row>
    <row r="34" spans="1:9">
      <c r="A34" s="84" t="s">
        <v>76</v>
      </c>
      <c r="B34" s="35">
        <f>$B$30+$B$31</f>
        <v>8683.5929106821441</v>
      </c>
    </row>
    <row r="35" spans="1:9">
      <c r="I35" s="89"/>
    </row>
    <row r="36" spans="1:9">
      <c r="A36" s="87" t="s">
        <v>77</v>
      </c>
    </row>
    <row r="37" spans="1:9">
      <c r="A37" s="84" t="s">
        <v>78</v>
      </c>
      <c r="B37" s="91">
        <f>'Benefit Calculations'!K37</f>
        <v>2.6895905152849364</v>
      </c>
    </row>
    <row r="38" spans="1:9">
      <c r="A38" s="84" t="s">
        <v>79</v>
      </c>
      <c r="B38" s="91">
        <f>'Benefit Calculations'!O37</f>
        <v>0.37126621953543515</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6.9134101271599996E-2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1.1923399753899999E-2</v>
      </c>
      <c r="F4" s="54">
        <v>2018</v>
      </c>
      <c r="G4" s="63">
        <f>'Inputs &amp; Outputs'!B22</f>
        <v>41852</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6.0706000775100001E-2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1.0759999975599999E-2</v>
      </c>
      <c r="F5" s="54">
        <f t="shared" ref="F5:F36" si="2">F4+1</f>
        <v>2019</v>
      </c>
      <c r="G5" s="63">
        <f>G4+G4*H5</f>
        <v>43156.959222978898</v>
      </c>
      <c r="H5" s="62">
        <f>$C$9</f>
        <v>3.1180331238146231E-2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44502.607506782551</v>
      </c>
      <c r="H6" s="62">
        <f t="shared" ref="H6:H11" si="7">$C$9</f>
        <v>3.1180331238146231E-2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45890.213549805245</v>
      </c>
      <c r="H7" s="62">
        <f t="shared" si="7"/>
        <v>3.1180331238146231E-2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47321.085608877438</v>
      </c>
      <c r="H8" s="62">
        <f t="shared" si="7"/>
        <v>3.1180331238146231E-2</v>
      </c>
      <c r="I8" s="54">
        <f>IF(AND(F8&gt;='Inputs &amp; Outputs'!B$13,F8&lt;'Inputs &amp; Outputs'!B$13+'Inputs &amp; Outputs'!B$19),1,0)</f>
        <v>1</v>
      </c>
      <c r="J8" s="55">
        <f>I8*'Inputs &amp; Outputs'!B$16*'Benefit Calculations'!G8*('Benefit Calculations'!C$4-'Benefit Calculations'!C$5)</f>
        <v>382.8737905104947</v>
      </c>
      <c r="K8" s="71">
        <f t="shared" si="3"/>
        <v>0.10973207809300937</v>
      </c>
      <c r="L8" s="56">
        <f>K8*'Assumed Values'!$C$8</f>
        <v>823.86844232231442</v>
      </c>
      <c r="M8" s="57">
        <f t="shared" si="0"/>
        <v>628.52529000474635</v>
      </c>
      <c r="N8" s="55">
        <f>I8*'Inputs &amp; Outputs'!B$16*'Benefit Calculations'!G8*('Benefit Calculations'!D$4-'Benefit Calculations'!D$5)</f>
        <v>52.851206886031989</v>
      </c>
      <c r="O8" s="71">
        <f t="shared" si="4"/>
        <v>1.514721797382705E-2</v>
      </c>
      <c r="P8" s="56">
        <f>ABS(O8*'Assumed Values'!$C$7)</f>
        <v>28.855450240140531</v>
      </c>
      <c r="Q8" s="57">
        <f t="shared" si="1"/>
        <v>22.013684829678823</v>
      </c>
      <c r="T8" s="68">
        <f t="shared" si="5"/>
        <v>9.9547185532728621E-2</v>
      </c>
      <c r="U8" s="69">
        <f>T8*'Assumed Values'!$D$8</f>
        <v>0</v>
      </c>
    </row>
    <row r="9" spans="2:21">
      <c r="B9" s="15" t="s">
        <v>98</v>
      </c>
      <c r="C9" s="53">
        <f>('Inputs &amp; Outputs'!B23/'Inputs &amp; Outputs'!B22)^(1/(2025-2018))-1</f>
        <v>3.1180331238146231E-2</v>
      </c>
      <c r="F9" s="54">
        <f t="shared" si="2"/>
        <v>2023</v>
      </c>
      <c r="G9" s="63">
        <f t="shared" si="6"/>
        <v>48796.572732710913</v>
      </c>
      <c r="H9" s="62">
        <f t="shared" si="7"/>
        <v>3.1180331238146231E-2</v>
      </c>
      <c r="I9" s="54">
        <f>IF(AND(F9&gt;='Inputs &amp; Outputs'!B$13,F9&lt;'Inputs &amp; Outputs'!B$13+'Inputs &amp; Outputs'!B$19),1,0)</f>
        <v>1</v>
      </c>
      <c r="J9" s="55">
        <f>I9*'Inputs &amp; Outputs'!B$16*'Benefit Calculations'!G9*('Benefit Calculations'!C$4-'Benefit Calculations'!C$5)</f>
        <v>394.81192212101655</v>
      </c>
      <c r="K9" s="71">
        <f t="shared" si="3"/>
        <v>0.11315356063539954</v>
      </c>
      <c r="L9" s="56">
        <f>K9*'Assumed Values'!$C$8</f>
        <v>849.55693325057973</v>
      </c>
      <c r="M9" s="57">
        <f t="shared" si="0"/>
        <v>605.72235209219275</v>
      </c>
      <c r="N9" s="55">
        <f>I9*'Inputs &amp; Outputs'!B$16*'Benefit Calculations'!G9*('Benefit Calculations'!D$4-'Benefit Calculations'!D$5)</f>
        <v>54.499125023074264</v>
      </c>
      <c r="O9" s="71">
        <f t="shared" si="4"/>
        <v>1.5619513247587377E-2</v>
      </c>
      <c r="P9" s="56">
        <f>ABS(O9*'Assumed Values'!$C$7)</f>
        <v>29.755172736653954</v>
      </c>
      <c r="Q9" s="57">
        <f t="shared" si="1"/>
        <v>21.215026929383512</v>
      </c>
      <c r="T9" s="68">
        <f t="shared" si="5"/>
        <v>0.1026510997514643</v>
      </c>
      <c r="U9" s="69">
        <f>T9*'Assumed Values'!$D$8</f>
        <v>0</v>
      </c>
    </row>
    <row r="10" spans="2:21">
      <c r="B10" s="15" t="s">
        <v>99</v>
      </c>
      <c r="C10" s="53">
        <f>('Inputs &amp; Outputs'!B24/'Inputs &amp; Outputs'!B23)^(1/(2045-2020))-1</f>
        <v>1.7066375602424966E-2</v>
      </c>
      <c r="F10" s="54">
        <f t="shared" si="2"/>
        <v>2024</v>
      </c>
      <c r="G10" s="63">
        <f t="shared" si="6"/>
        <v>50318.06603380313</v>
      </c>
      <c r="H10" s="62">
        <f t="shared" si="7"/>
        <v>3.1180331238146231E-2</v>
      </c>
      <c r="I10" s="54">
        <f>IF(AND(F10&gt;='Inputs &amp; Outputs'!B$13,F10&lt;'Inputs &amp; Outputs'!B$13+'Inputs &amp; Outputs'!B$19),1,0)</f>
        <v>1</v>
      </c>
      <c r="J10" s="55">
        <f>I10*'Inputs &amp; Outputs'!B$16*'Benefit Calculations'!G10*('Benefit Calculations'!C$4-'Benefit Calculations'!C$5)</f>
        <v>407.12228862951906</v>
      </c>
      <c r="K10" s="71">
        <f t="shared" si="3"/>
        <v>0.11668172613678697</v>
      </c>
      <c r="L10" s="56">
        <f>K10*'Assumed Values'!$C$8</f>
        <v>876.04639983499658</v>
      </c>
      <c r="M10" s="57">
        <f t="shared" si="0"/>
        <v>583.74670623250131</v>
      </c>
      <c r="N10" s="55">
        <f>I10*'Inputs &amp; Outputs'!B$16*'Benefit Calculations'!G10*('Benefit Calculations'!D$4-'Benefit Calculations'!D$5)</f>
        <v>56.198425793482855</v>
      </c>
      <c r="O10" s="71">
        <f t="shared" si="4"/>
        <v>1.6106534844425761E-2</v>
      </c>
      <c r="P10" s="56">
        <f>ABS(O10*'Assumed Values'!$C$7)</f>
        <v>30.682948878631073</v>
      </c>
      <c r="Q10" s="57">
        <f t="shared" si="1"/>
        <v>20.445344389035398</v>
      </c>
      <c r="T10" s="68">
        <f t="shared" si="5"/>
        <v>0.10585179504367495</v>
      </c>
      <c r="U10" s="69">
        <f>T10*'Assumed Values'!$D$8</f>
        <v>0</v>
      </c>
    </row>
    <row r="11" spans="2:21">
      <c r="B11" s="15" t="s">
        <v>100</v>
      </c>
      <c r="C11" s="53">
        <f>('Inputs &amp; Outputs'!B24/'Inputs &amp; Outputs'!B22)^(1/(2045-2018))-1</f>
        <v>2.3910574507480131E-2</v>
      </c>
      <c r="F11" s="54">
        <f t="shared" si="2"/>
        <v>2025</v>
      </c>
      <c r="G11" s="63">
        <f>'Inputs &amp; Outputs'!$B$23</f>
        <v>51887</v>
      </c>
      <c r="H11" s="62">
        <f t="shared" si="7"/>
        <v>3.1180331238146231E-2</v>
      </c>
      <c r="I11" s="54">
        <f>IF(AND(F11&gt;='Inputs &amp; Outputs'!B$13,F11&lt;'Inputs &amp; Outputs'!B$13+'Inputs &amp; Outputs'!B$19),1,0)</f>
        <v>1</v>
      </c>
      <c r="J11" s="55">
        <f>I11*'Inputs &amp; Outputs'!B$16*'Benefit Calculations'!G11*('Benefit Calculations'!C$4-'Benefit Calculations'!C$5)</f>
        <v>419.8164964434194</v>
      </c>
      <c r="K11" s="71">
        <f t="shared" si="3"/>
        <v>0.12031990100717058</v>
      </c>
      <c r="L11" s="56">
        <f>K11*'Assumed Values'!$C$8</f>
        <v>903.36181676183674</v>
      </c>
      <c r="M11" s="57">
        <f t="shared" si="0"/>
        <v>562.56833821682915</v>
      </c>
      <c r="N11" s="55">
        <f>I11*'Inputs &amp; Outputs'!B$16*'Benefit Calculations'!G11*('Benefit Calculations'!D$4-'Benefit Calculations'!D$5)</f>
        <v>57.950711324786006</v>
      </c>
      <c r="O11" s="71">
        <f t="shared" si="4"/>
        <v>1.6608741935973698E-2</v>
      </c>
      <c r="P11" s="56">
        <f>ABS(O11*'Assumed Values'!$C$7)</f>
        <v>31.639653388029895</v>
      </c>
      <c r="Q11" s="57">
        <f t="shared" si="1"/>
        <v>19.703585980713545</v>
      </c>
      <c r="T11" s="68">
        <f t="shared" si="5"/>
        <v>0.10915228907528904</v>
      </c>
      <c r="U11" s="69">
        <f>T11*'Assumed Values'!$D$8</f>
        <v>0</v>
      </c>
    </row>
    <row r="12" spans="2:21">
      <c r="C12" s="38"/>
      <c r="F12" s="54">
        <f t="shared" si="2"/>
        <v>2026</v>
      </c>
      <c r="G12" s="63">
        <f t="shared" si="6"/>
        <v>52772.523030883021</v>
      </c>
      <c r="H12" s="62">
        <f>$C$10</f>
        <v>1.7066375602424966E-2</v>
      </c>
      <c r="I12" s="54">
        <f>IF(AND(F12&gt;='Inputs &amp; Outputs'!B$13,F12&lt;'Inputs &amp; Outputs'!B$13+'Inputs &amp; Outputs'!B$19),1,0)</f>
        <v>1</v>
      </c>
      <c r="J12" s="55">
        <f>I12*'Inputs &amp; Outputs'!B$16*'Benefit Calculations'!G12*('Benefit Calculations'!C$4-'Benefit Calculations'!C$5)</f>
        <v>426.98124245581693</v>
      </c>
      <c r="K12" s="71">
        <f t="shared" si="3"/>
        <v>0.12237332563020556</v>
      </c>
      <c r="L12" s="56">
        <f>K12*'Assumed Values'!$C$8</f>
        <v>918.77892883158336</v>
      </c>
      <c r="M12" s="57">
        <f t="shared" si="0"/>
        <v>534.73770166249506</v>
      </c>
      <c r="N12" s="55">
        <f>I12*'Inputs &amp; Outputs'!B$16*'Benefit Calculations'!G12*('Benefit Calculations'!D$4-'Benefit Calculations'!D$5)</f>
        <v>58.939719930682507</v>
      </c>
      <c r="O12" s="71">
        <f t="shared" si="4"/>
        <v>1.6892192964136771E-2</v>
      </c>
      <c r="P12" s="56">
        <f>ABS(O12*'Assumed Values'!$C$7)</f>
        <v>32.179627596680547</v>
      </c>
      <c r="Q12" s="57">
        <f t="shared" si="1"/>
        <v>18.728836242780446</v>
      </c>
      <c r="T12" s="68">
        <f t="shared" si="5"/>
        <v>0.11101512303851241</v>
      </c>
      <c r="U12" s="69">
        <f>T12*'Assumed Values'!$D$8</f>
        <v>0</v>
      </c>
    </row>
    <row r="13" spans="2:21">
      <c r="C13" s="38"/>
      <c r="F13" s="54">
        <f t="shared" si="2"/>
        <v>2027</v>
      </c>
      <c r="G13" s="63">
        <f t="shared" si="6"/>
        <v>53673.158730415693</v>
      </c>
      <c r="H13" s="62">
        <f t="shared" ref="H13:H36" si="8">$C$10</f>
        <v>1.7066375602424966E-2</v>
      </c>
      <c r="I13" s="54">
        <f>IF(AND(F13&gt;='Inputs &amp; Outputs'!B$13,F13&lt;'Inputs &amp; Outputs'!B$13+'Inputs &amp; Outputs'!B$19),1,0)</f>
        <v>1</v>
      </c>
      <c r="J13" s="55">
        <f>I13*'Inputs &amp; Outputs'!B$16*'Benefit Calculations'!G13*('Benefit Calculations'!C$4-'Benefit Calculations'!C$5)</f>
        <v>434.26826471475795</v>
      </c>
      <c r="K13" s="71">
        <f t="shared" si="3"/>
        <v>0.12446179476912848</v>
      </c>
      <c r="L13" s="56">
        <f>K13*'Assumed Values'!$C$8</f>
        <v>934.45915512661668</v>
      </c>
      <c r="M13" s="57">
        <f t="shared" si="0"/>
        <v>508.28386554004157</v>
      </c>
      <c r="N13" s="55">
        <f>I13*'Inputs &amp; Outputs'!B$16*'Benefit Calculations'!G13*('Benefit Calculations'!D$4-'Benefit Calculations'!D$5)</f>
        <v>59.945607328921263</v>
      </c>
      <c r="O13" s="71">
        <f t="shared" si="4"/>
        <v>1.7180481474011369E-2</v>
      </c>
      <c r="P13" s="56">
        <f>ABS(O13*'Assumed Values'!$C$7)</f>
        <v>32.728817207991661</v>
      </c>
      <c r="Q13" s="57">
        <f t="shared" si="1"/>
        <v>17.802308034295368</v>
      </c>
      <c r="T13" s="68">
        <f t="shared" si="5"/>
        <v>0.11290974882583707</v>
      </c>
      <c r="U13" s="69">
        <f>T13*'Assumed Values'!$D$8</f>
        <v>0</v>
      </c>
    </row>
    <row r="14" spans="2:21">
      <c r="C14" s="38"/>
      <c r="F14" s="54">
        <f t="shared" si="2"/>
        <v>2028</v>
      </c>
      <c r="G14" s="63">
        <f t="shared" si="6"/>
        <v>54589.165017077539</v>
      </c>
      <c r="H14" s="62">
        <f t="shared" si="8"/>
        <v>1.7066375602424966E-2</v>
      </c>
      <c r="I14" s="54">
        <f>IF(AND(F14&gt;='Inputs &amp; Outputs'!B$13,F14&lt;'Inputs &amp; Outputs'!B$13+'Inputs &amp; Outputs'!B$19),1,0)</f>
        <v>1</v>
      </c>
      <c r="J14" s="55">
        <f>I14*'Inputs &amp; Outputs'!B$16*'Benefit Calculations'!G14*('Benefit Calculations'!C$4-'Benefit Calculations'!C$5)</f>
        <v>441.67965003259332</v>
      </c>
      <c r="K14" s="71">
        <f t="shared" si="3"/>
        <v>0.12658590650681037</v>
      </c>
      <c r="L14" s="56">
        <f>K14*'Assumed Values'!$C$8</f>
        <v>950.4069860531323</v>
      </c>
      <c r="M14" s="57">
        <f t="shared" si="0"/>
        <v>483.1387186000004</v>
      </c>
      <c r="N14" s="55">
        <f>I14*'Inputs &amp; Outputs'!B$16*'Benefit Calculations'!G14*('Benefit Calculations'!D$4-'Benefit Calculations'!D$5)</f>
        <v>60.968661579312112</v>
      </c>
      <c r="O14" s="71">
        <f t="shared" si="4"/>
        <v>1.7473690023877352E-2</v>
      </c>
      <c r="P14" s="56">
        <f>ABS(O14*'Assumed Values'!$C$7)</f>
        <v>33.287379495486356</v>
      </c>
      <c r="Q14" s="57">
        <f t="shared" si="1"/>
        <v>16.921615803550207</v>
      </c>
      <c r="T14" s="68">
        <f t="shared" si="5"/>
        <v>0.11483670900847427</v>
      </c>
      <c r="U14" s="69">
        <f>T14*'Assumed Values'!$D$8</f>
        <v>0</v>
      </c>
    </row>
    <row r="15" spans="2:21">
      <c r="C15" s="1"/>
      <c r="F15" s="54">
        <f t="shared" si="2"/>
        <v>2029</v>
      </c>
      <c r="G15" s="63">
        <f t="shared" si="6"/>
        <v>55520.804211081741</v>
      </c>
      <c r="H15" s="62">
        <f t="shared" si="8"/>
        <v>1.7066375602424966E-2</v>
      </c>
      <c r="I15" s="54">
        <f>IF(AND(F15&gt;='Inputs &amp; Outputs'!B$13,F15&lt;'Inputs &amp; Outputs'!B$13+'Inputs &amp; Outputs'!B$19),1,0)</f>
        <v>1</v>
      </c>
      <c r="J15" s="55">
        <f>I15*'Inputs &amp; Outputs'!B$16*'Benefit Calculations'!G15*('Benefit Calculations'!C$4-'Benefit Calculations'!C$5)</f>
        <v>449.21752083599711</v>
      </c>
      <c r="K15" s="71">
        <f t="shared" si="3"/>
        <v>0.12874626913322904</v>
      </c>
      <c r="L15" s="56">
        <f>K15*'Assumed Values'!$C$8</f>
        <v>966.62698865228356</v>
      </c>
      <c r="M15" s="57">
        <f t="shared" si="0"/>
        <v>459.23751910252537</v>
      </c>
      <c r="N15" s="55">
        <f>I15*'Inputs &amp; Outputs'!B$16*'Benefit Calculations'!G15*('Benefit Calculations'!D$4-'Benefit Calculations'!D$5)</f>
        <v>62.009175657801784</v>
      </c>
      <c r="O15" s="71">
        <f t="shared" si="4"/>
        <v>1.7771902580985186E-2</v>
      </c>
      <c r="P15" s="56">
        <f>ABS(O15*'Assumed Values'!$C$7)</f>
        <v>33.855474416776779</v>
      </c>
      <c r="Q15" s="57">
        <f t="shared" si="1"/>
        <v>16.084492013694881</v>
      </c>
      <c r="T15" s="68">
        <f t="shared" si="5"/>
        <v>0.11679655541735925</v>
      </c>
      <c r="U15" s="69">
        <f>T15*'Assumed Values'!$D$8</f>
        <v>0</v>
      </c>
    </row>
    <row r="16" spans="2:21">
      <c r="C16" s="1"/>
      <c r="F16" s="54">
        <f t="shared" si="2"/>
        <v>2030</v>
      </c>
      <c r="G16" s="63">
        <f t="shared" si="6"/>
        <v>56468.34310949676</v>
      </c>
      <c r="H16" s="62">
        <f t="shared" si="8"/>
        <v>1.7066375602424966E-2</v>
      </c>
      <c r="I16" s="54">
        <f>IF(AND(F16&gt;='Inputs &amp; Outputs'!B$13,F16&lt;'Inputs &amp; Outputs'!B$13+'Inputs &amp; Outputs'!B$19),1,0)</f>
        <v>1</v>
      </c>
      <c r="J16" s="55">
        <f>I16*'Inputs &amp; Outputs'!B$16*'Benefit Calculations'!G16*('Benefit Calculations'!C$4-'Benefit Calculations'!C$5)</f>
        <v>456.88403577377437</v>
      </c>
      <c r="K16" s="71">
        <f t="shared" si="3"/>
        <v>0.13094350131966759</v>
      </c>
      <c r="L16" s="56">
        <f>K16*'Assumed Values'!$C$8</f>
        <v>983.12380790806424</v>
      </c>
      <c r="M16" s="57">
        <f t="shared" si="0"/>
        <v>436.51872812547191</v>
      </c>
      <c r="N16" s="55">
        <f>I16*'Inputs &amp; Outputs'!B$16*'Benefit Calculations'!G16*('Benefit Calculations'!D$4-'Benefit Calculations'!D$5)</f>
        <v>63.067447540374573</v>
      </c>
      <c r="O16" s="71">
        <f t="shared" si="4"/>
        <v>1.8075204545601981E-2</v>
      </c>
      <c r="P16" s="56">
        <f>ABS(O16*'Assumed Values'!$C$7)</f>
        <v>34.433264659371773</v>
      </c>
      <c r="Q16" s="57">
        <f t="shared" si="1"/>
        <v>15.288781304462431</v>
      </c>
      <c r="T16" s="68">
        <f t="shared" si="5"/>
        <v>0.11878984930118135</v>
      </c>
      <c r="U16" s="69">
        <f>T16*'Assumed Values'!$D$8</f>
        <v>0</v>
      </c>
    </row>
    <row r="17" spans="3:21">
      <c r="C17" s="1"/>
      <c r="F17" s="54">
        <f t="shared" si="2"/>
        <v>2031</v>
      </c>
      <c r="G17" s="63">
        <f t="shared" si="6"/>
        <v>57432.05306265004</v>
      </c>
      <c r="H17" s="62">
        <f t="shared" si="8"/>
        <v>1.7066375602424966E-2</v>
      </c>
      <c r="I17" s="54">
        <f>IF(AND(F17&gt;='Inputs &amp; Outputs'!B$13,F17&lt;'Inputs &amp; Outputs'!B$13+'Inputs &amp; Outputs'!B$19),1,0)</f>
        <v>1</v>
      </c>
      <c r="J17" s="55">
        <f>I17*'Inputs &amp; Outputs'!B$16*'Benefit Calculations'!G17*('Benefit Calculations'!C$4-'Benefit Calculations'!C$5)</f>
        <v>464.68139033504144</v>
      </c>
      <c r="K17" s="71">
        <f t="shared" si="3"/>
        <v>0.13317823229588571</v>
      </c>
      <c r="L17" s="56">
        <f>K17*'Assumed Values'!$C$8</f>
        <v>999.90216807750994</v>
      </c>
      <c r="M17" s="57">
        <f t="shared" si="0"/>
        <v>414.92385111883567</v>
      </c>
      <c r="N17" s="55">
        <f>I17*'Inputs &amp; Outputs'!B$16*'Benefit Calculations'!G17*('Benefit Calculations'!D$4-'Benefit Calculations'!D$5)</f>
        <v>64.143780288384846</v>
      </c>
      <c r="O17" s="71">
        <f t="shared" si="4"/>
        <v>1.8383682775467886E-2</v>
      </c>
      <c r="P17" s="56">
        <f>ABS(O17*'Assumed Values'!$C$7)</f>
        <v>35.020915687266324</v>
      </c>
      <c r="Q17" s="57">
        <f t="shared" si="1"/>
        <v>14.532434942717495</v>
      </c>
      <c r="T17" s="68">
        <f t="shared" si="5"/>
        <v>0.12081716148711077</v>
      </c>
      <c r="U17" s="69">
        <f>T17*'Assumed Values'!$D$8</f>
        <v>0</v>
      </c>
    </row>
    <row r="18" spans="3:21">
      <c r="F18" s="54">
        <f t="shared" si="2"/>
        <v>2032</v>
      </c>
      <c r="G18" s="63">
        <f t="shared" si="6"/>
        <v>58412.210051835624</v>
      </c>
      <c r="H18" s="62">
        <f t="shared" si="8"/>
        <v>1.7066375602424966E-2</v>
      </c>
      <c r="I18" s="54">
        <f>IF(AND(F18&gt;='Inputs &amp; Outputs'!B$13,F18&lt;'Inputs &amp; Outputs'!B$13+'Inputs &amp; Outputs'!B$19),1,0)</f>
        <v>1</v>
      </c>
      <c r="J18" s="55">
        <f>I18*'Inputs &amp; Outputs'!B$16*'Benefit Calculations'!G18*('Benefit Calculations'!C$4-'Benefit Calculations'!C$5)</f>
        <v>472.61181747795632</v>
      </c>
      <c r="K18" s="71">
        <f t="shared" si="3"/>
        <v>0.13545110203031427</v>
      </c>
      <c r="L18" s="56">
        <f>K18*'Assumed Values'!$C$8</f>
        <v>1016.9668740435995</v>
      </c>
      <c r="M18" s="57">
        <f t="shared" si="0"/>
        <v>394.39728729760213</v>
      </c>
      <c r="N18" s="55">
        <f>I18*'Inputs &amp; Outputs'!B$16*'Benefit Calculations'!G18*('Benefit Calculations'!D$4-'Benefit Calculations'!D$5)</f>
        <v>65.238482135345848</v>
      </c>
      <c r="O18" s="71">
        <f t="shared" si="4"/>
        <v>1.8697425610669852E-2</v>
      </c>
      <c r="P18" s="56">
        <f>ABS(O18*'Assumed Values'!$C$7)</f>
        <v>35.618595788326068</v>
      </c>
      <c r="Q18" s="57">
        <f t="shared" si="1"/>
        <v>13.813505547539924</v>
      </c>
      <c r="T18" s="68">
        <f t="shared" si="5"/>
        <v>0.12287907254426864</v>
      </c>
      <c r="U18" s="69">
        <f>T18*'Assumed Values'!$D$8</f>
        <v>0</v>
      </c>
    </row>
    <row r="19" spans="3:21">
      <c r="F19" s="54">
        <f t="shared" si="2"/>
        <v>2033</v>
      </c>
      <c r="G19" s="63">
        <f t="shared" si="6"/>
        <v>59409.09476834799</v>
      </c>
      <c r="H19" s="62">
        <f t="shared" si="8"/>
        <v>1.7066375602424966E-2</v>
      </c>
      <c r="I19" s="54">
        <f>IF(AND(F19&gt;='Inputs &amp; Outputs'!B$13,F19&lt;'Inputs &amp; Outputs'!B$13+'Inputs &amp; Outputs'!B$19),1,0)</f>
        <v>1</v>
      </c>
      <c r="J19" s="55">
        <f>I19*'Inputs &amp; Outputs'!B$16*'Benefit Calculations'!G19*('Benefit Calculations'!C$4-'Benefit Calculations'!C$5)</f>
        <v>480.67758826917975</v>
      </c>
      <c r="K19" s="71">
        <f t="shared" si="3"/>
        <v>0.137762761413326</v>
      </c>
      <c r="L19" s="56">
        <f>K19*'Assumed Values'!$C$8</f>
        <v>1034.3228126912516</v>
      </c>
      <c r="M19" s="57">
        <f t="shared" si="0"/>
        <v>374.88618648523408</v>
      </c>
      <c r="N19" s="55">
        <f>I19*'Inputs &amp; Outputs'!B$16*'Benefit Calculations'!G19*('Benefit Calculations'!D$4-'Benefit Calculations'!D$5)</f>
        <v>66.351866575199736</v>
      </c>
      <c r="O19" s="71">
        <f t="shared" si="4"/>
        <v>1.9016522898939941E-2</v>
      </c>
      <c r="P19" s="56">
        <f>ABS(O19*'Assumed Values'!$C$7)</f>
        <v>36.226476122480584</v>
      </c>
      <c r="Q19" s="57">
        <f t="shared" si="1"/>
        <v>13.130142076262072</v>
      </c>
      <c r="T19" s="68">
        <f t="shared" si="5"/>
        <v>0.12497617294998674</v>
      </c>
      <c r="U19" s="69">
        <f>T19*'Assumed Values'!$D$8</f>
        <v>0</v>
      </c>
    </row>
    <row r="20" spans="3:21">
      <c r="F20" s="54">
        <f t="shared" si="2"/>
        <v>2034</v>
      </c>
      <c r="G20" s="63">
        <f t="shared" si="6"/>
        <v>60422.992693864675</v>
      </c>
      <c r="H20" s="62">
        <f t="shared" si="8"/>
        <v>1.7066375602424966E-2</v>
      </c>
      <c r="I20" s="54">
        <f>IF(AND(F20&gt;='Inputs &amp; Outputs'!B$13,F20&lt;'Inputs &amp; Outputs'!B$13+'Inputs &amp; Outputs'!B$19),1,0)</f>
        <v>1</v>
      </c>
      <c r="J20" s="55">
        <f>I20*'Inputs &amp; Outputs'!B$16*'Benefit Calculations'!G20*('Benefit Calculations'!C$4-'Benefit Calculations'!C$5)</f>
        <v>488.88101253424935</v>
      </c>
      <c r="K20" s="71">
        <f t="shared" si="3"/>
        <v>0.14011387244363308</v>
      </c>
      <c r="L20" s="56">
        <f>K20*'Assumed Values'!$C$8</f>
        <v>1051.9749543067971</v>
      </c>
      <c r="M20" s="57">
        <f t="shared" si="0"/>
        <v>356.34031303920733</v>
      </c>
      <c r="N20" s="55">
        <f>I20*'Inputs &amp; Outputs'!B$16*'Benefit Calculations'!G20*('Benefit Calculations'!D$4-'Benefit Calculations'!D$5)</f>
        <v>67.484252452094083</v>
      </c>
      <c r="O20" s="71">
        <f t="shared" si="4"/>
        <v>1.9341066021385366E-2</v>
      </c>
      <c r="P20" s="56">
        <f>ABS(O20*'Assumed Values'!$C$7)</f>
        <v>36.844730770739126</v>
      </c>
      <c r="Q20" s="57">
        <f t="shared" si="1"/>
        <v>12.48058505855025</v>
      </c>
      <c r="T20" s="68">
        <f t="shared" si="5"/>
        <v>0.12710906325890484</v>
      </c>
      <c r="U20" s="69">
        <f>T20*'Assumed Values'!$D$8</f>
        <v>0</v>
      </c>
    </row>
    <row r="21" spans="3:21">
      <c r="F21" s="54">
        <f t="shared" si="2"/>
        <v>2035</v>
      </c>
      <c r="G21" s="63">
        <f t="shared" si="6"/>
        <v>61454.19418220075</v>
      </c>
      <c r="H21" s="62">
        <f t="shared" si="8"/>
        <v>1.7066375602424966E-2</v>
      </c>
      <c r="I21" s="54">
        <f>IF(AND(F21&gt;='Inputs &amp; Outputs'!B$13,F21&lt;'Inputs &amp; Outputs'!B$13+'Inputs &amp; Outputs'!B$19),1,0)</f>
        <v>1</v>
      </c>
      <c r="J21" s="55">
        <f>I21*'Inputs &amp; Outputs'!B$16*'Benefit Calculations'!G21*('Benefit Calculations'!C$4-'Benefit Calculations'!C$5)</f>
        <v>497.22443951905268</v>
      </c>
      <c r="K21" s="71">
        <f t="shared" si="3"/>
        <v>0.14250510841786637</v>
      </c>
      <c r="L21" s="56">
        <f>K21*'Assumed Values'!$C$8</f>
        <v>1069.9283540013407</v>
      </c>
      <c r="M21" s="57">
        <f t="shared" si="0"/>
        <v>338.71191650824312</v>
      </c>
      <c r="N21" s="55">
        <f>I21*'Inputs &amp; Outputs'!B$16*'Benefit Calculations'!G21*('Benefit Calculations'!D$4-'Benefit Calculations'!D$5)</f>
        <v>68.635964051690394</v>
      </c>
      <c r="O21" s="71">
        <f t="shared" si="4"/>
        <v>1.9671147918657629E-2</v>
      </c>
      <c r="P21" s="56">
        <f>ABS(O21*'Assumed Values'!$C$7)</f>
        <v>37.473536785042782</v>
      </c>
      <c r="Q21" s="57">
        <f t="shared" si="1"/>
        <v>11.86316206625933</v>
      </c>
      <c r="T21" s="68">
        <f t="shared" si="5"/>
        <v>0.12927835427495371</v>
      </c>
      <c r="U21" s="69">
        <f>T21*'Assumed Values'!$D$8</f>
        <v>0</v>
      </c>
    </row>
    <row r="22" spans="3:21">
      <c r="F22" s="54">
        <f t="shared" si="2"/>
        <v>2036</v>
      </c>
      <c r="G22" s="63">
        <f t="shared" si="6"/>
        <v>62502.994542458546</v>
      </c>
      <c r="H22" s="62">
        <f t="shared" si="8"/>
        <v>1.7066375602424966E-2</v>
      </c>
      <c r="I22" s="54">
        <f>IF(AND(F22&gt;='Inputs &amp; Outputs'!B$13,F22&lt;'Inputs &amp; Outputs'!B$13+'Inputs &amp; Outputs'!B$19),1,0)</f>
        <v>1</v>
      </c>
      <c r="J22" s="55">
        <f>I22*'Inputs &amp; Outputs'!B$16*'Benefit Calculations'!G22*('Benefit Calculations'!C$4-'Benefit Calculations'!C$5)</f>
        <v>505.71025856259001</v>
      </c>
      <c r="K22" s="71">
        <f t="shared" si="3"/>
        <v>0.14493715412338995</v>
      </c>
      <c r="L22" s="56">
        <f>K22*'Assumed Values'!$C$8</f>
        <v>1088.1881531584118</v>
      </c>
      <c r="M22" s="57">
        <f t="shared" si="0"/>
        <v>321.95560868821491</v>
      </c>
      <c r="N22" s="55">
        <f>I22*'Inputs &amp; Outputs'!B$16*'Benefit Calculations'!G22*('Benefit Calculations'!D$4-'Benefit Calculations'!D$5)</f>
        <v>69.807331194031065</v>
      </c>
      <c r="O22" s="71">
        <f t="shared" si="4"/>
        <v>2.0006863117568295E-2</v>
      </c>
      <c r="P22" s="56">
        <f>ABS(O22*'Assumed Values'!$C$7)</f>
        <v>38.113074238967599</v>
      </c>
      <c r="Q22" s="57">
        <f t="shared" si="1"/>
        <v>11.276283407396772</v>
      </c>
      <c r="T22" s="68">
        <f t="shared" si="5"/>
        <v>0.13148466722627339</v>
      </c>
      <c r="U22" s="69">
        <f>T22*'Assumed Values'!$D$8</f>
        <v>0</v>
      </c>
    </row>
    <row r="23" spans="3:21">
      <c r="F23" s="54">
        <f t="shared" si="2"/>
        <v>2037</v>
      </c>
      <c r="G23" s="63">
        <f t="shared" si="6"/>
        <v>63569.694123596462</v>
      </c>
      <c r="H23" s="62">
        <f t="shared" si="8"/>
        <v>1.7066375602424966E-2</v>
      </c>
      <c r="I23" s="54">
        <f>IF(AND(F23&gt;='Inputs &amp; Outputs'!B$13,F23&lt;'Inputs &amp; Outputs'!B$13+'Inputs &amp; Outputs'!B$19),1,0)</f>
        <v>1</v>
      </c>
      <c r="J23" s="55">
        <f>I23*'Inputs &amp; Outputs'!B$16*'Benefit Calculations'!G23*('Benefit Calculations'!C$4-'Benefit Calculations'!C$5)</f>
        <v>514.3408997812187</v>
      </c>
      <c r="K23" s="71">
        <f t="shared" si="3"/>
        <v>0.14741070603440631</v>
      </c>
      <c r="L23" s="56">
        <f>K23*'Assumed Values'!$C$8</f>
        <v>1106.7595809063225</v>
      </c>
      <c r="M23" s="57">
        <f t="shared" si="0"/>
        <v>306.02824676018258</v>
      </c>
      <c r="N23" s="55">
        <f>I23*'Inputs &amp; Outputs'!B$16*'Benefit Calculations'!G23*('Benefit Calculations'!D$4-'Benefit Calculations'!D$5)</f>
        <v>70.998689327991286</v>
      </c>
      <c r="O23" s="71">
        <f t="shared" si="4"/>
        <v>2.0348307758159021E-2</v>
      </c>
      <c r="P23" s="56">
        <f>ABS(O23*'Assumed Values'!$C$7)</f>
        <v>38.763526279292932</v>
      </c>
      <c r="Q23" s="57">
        <f t="shared" si="1"/>
        <v>10.718438033109157</v>
      </c>
      <c r="T23" s="68">
        <f t="shared" si="5"/>
        <v>0.13372863394311688</v>
      </c>
      <c r="U23" s="69">
        <f>T23*'Assumed Values'!$D$8</f>
        <v>0</v>
      </c>
    </row>
    <row r="24" spans="3:21">
      <c r="F24" s="54">
        <f t="shared" si="2"/>
        <v>2038</v>
      </c>
      <c r="G24" s="63">
        <f t="shared" si="6"/>
        <v>64654.598400441027</v>
      </c>
      <c r="H24" s="62">
        <f t="shared" si="8"/>
        <v>1.7066375602424966E-2</v>
      </c>
      <c r="I24" s="54">
        <f>IF(AND(F24&gt;='Inputs &amp; Outputs'!B$13,F24&lt;'Inputs &amp; Outputs'!B$13+'Inputs &amp; Outputs'!B$19),1,0)</f>
        <v>1</v>
      </c>
      <c r="J24" s="55">
        <f>I24*'Inputs &amp; Outputs'!B$16*'Benefit Calculations'!G24*('Benefit Calculations'!C$4-'Benefit Calculations'!C$5)</f>
        <v>523.11883476457422</v>
      </c>
      <c r="K24" s="71">
        <f t="shared" si="3"/>
        <v>0.14992647251140817</v>
      </c>
      <c r="L24" s="56">
        <f>K24*'Assumed Values'!$C$8</f>
        <v>1125.6479556156526</v>
      </c>
      <c r="M24" s="57">
        <f t="shared" si="0"/>
        <v>290.88882220966684</v>
      </c>
      <c r="N24" s="55">
        <f>I24*'Inputs &amp; Outputs'!B$16*'Benefit Calculations'!G24*('Benefit Calculations'!D$4-'Benefit Calculations'!D$5)</f>
        <v>72.210379627342661</v>
      </c>
      <c r="O24" s="71">
        <f t="shared" si="4"/>
        <v>2.0695579621233497E-2</v>
      </c>
      <c r="P24" s="56">
        <f>ABS(O24*'Assumed Values'!$C$7)</f>
        <v>39.425079178449813</v>
      </c>
      <c r="Q24" s="57">
        <f t="shared" si="1"/>
        <v>10.188189647152818</v>
      </c>
      <c r="T24" s="68">
        <f t="shared" si="5"/>
        <v>0.1360108970387893</v>
      </c>
      <c r="U24" s="69">
        <f>T24*'Assumed Values'!$D$8</f>
        <v>0</v>
      </c>
    </row>
    <row r="25" spans="3:21">
      <c r="F25" s="54">
        <f t="shared" si="2"/>
        <v>2039</v>
      </c>
      <c r="G25" s="63">
        <f t="shared" si="6"/>
        <v>65758.018061166891</v>
      </c>
      <c r="H25" s="62">
        <f t="shared" si="8"/>
        <v>1.7066375602424966E-2</v>
      </c>
      <c r="I25" s="54">
        <f>IF(AND(F25&gt;='Inputs &amp; Outputs'!B$13,F25&lt;'Inputs &amp; Outputs'!B$13+'Inputs &amp; Outputs'!B$19),1,0)</f>
        <v>1</v>
      </c>
      <c r="J25" s="55">
        <f>I25*'Inputs &amp; Outputs'!B$16*'Benefit Calculations'!G25*('Benefit Calculations'!C$4-'Benefit Calculations'!C$5)</f>
        <v>532.04657728336929</v>
      </c>
      <c r="K25" s="71">
        <f t="shared" si="3"/>
        <v>0.15248517400403447</v>
      </c>
      <c r="L25" s="56">
        <f>K25*'Assumed Values'!$C$8</f>
        <v>1144.8586864222907</v>
      </c>
      <c r="M25" s="57">
        <f t="shared" si="0"/>
        <v>276.49835524116259</v>
      </c>
      <c r="N25" s="55">
        <f>I25*'Inputs &amp; Outputs'!B$16*'Benefit Calculations'!G25*('Benefit Calculations'!D$4-'Benefit Calculations'!D$5)</f>
        <v>73.442749088456594</v>
      </c>
      <c r="O25" s="71">
        <f t="shared" si="4"/>
        <v>2.1048778156359367E-2</v>
      </c>
      <c r="P25" s="56">
        <f>ABS(O25*'Assumed Values'!$C$7)</f>
        <v>40.097922387864593</v>
      </c>
      <c r="Q25" s="57">
        <f t="shared" si="1"/>
        <v>9.684173007831653</v>
      </c>
      <c r="T25" s="68">
        <f t="shared" si="5"/>
        <v>0.13833211009367602</v>
      </c>
      <c r="U25" s="69">
        <f>T25*'Assumed Values'!$D$8</f>
        <v>0</v>
      </c>
    </row>
    <row r="26" spans="3:21">
      <c r="F26" s="54">
        <f t="shared" si="2"/>
        <v>2040</v>
      </c>
      <c r="G26" s="63">
        <f t="shared" si="6"/>
        <v>66880.269096269811</v>
      </c>
      <c r="H26" s="62">
        <f t="shared" si="8"/>
        <v>1.7066375602424966E-2</v>
      </c>
      <c r="I26" s="54">
        <f>IF(AND(F26&gt;='Inputs &amp; Outputs'!B$13,F26&lt;'Inputs &amp; Outputs'!B$13+'Inputs &amp; Outputs'!B$19),1,0)</f>
        <v>1</v>
      </c>
      <c r="J26" s="55">
        <f>I26*'Inputs &amp; Outputs'!B$16*'Benefit Calculations'!G26*('Benefit Calculations'!C$4-'Benefit Calculations'!C$5)</f>
        <v>541.1266840092718</v>
      </c>
      <c r="K26" s="71">
        <f t="shared" si="3"/>
        <v>0.15508754325738841</v>
      </c>
      <c r="L26" s="56">
        <f>K26*'Assumed Values'!$C$8</f>
        <v>1164.3972747764722</v>
      </c>
      <c r="M26" s="57">
        <f t="shared" si="0"/>
        <v>262.81979441603823</v>
      </c>
      <c r="N26" s="55">
        <f>I26*'Inputs &amp; Outputs'!B$16*'Benefit Calculations'!G26*('Benefit Calculations'!D$4-'Benefit Calculations'!D$5)</f>
        <v>74.696150629674833</v>
      </c>
      <c r="O26" s="71">
        <f t="shared" si="4"/>
        <v>2.1408004510347908E-2</v>
      </c>
      <c r="P26" s="56">
        <f>ABS(O26*'Assumed Values'!$C$7)</f>
        <v>40.782248592212767</v>
      </c>
      <c r="Q26" s="57">
        <f t="shared" si="1"/>
        <v>9.2050904128805335</v>
      </c>
      <c r="T26" s="68">
        <f t="shared" si="5"/>
        <v>0.14069293784241066</v>
      </c>
      <c r="U26" s="69">
        <f>T26*'Assumed Values'!$D$8</f>
        <v>0</v>
      </c>
    </row>
    <row r="27" spans="3:21">
      <c r="F27" s="54">
        <f t="shared" si="2"/>
        <v>2041</v>
      </c>
      <c r="G27" s="63">
        <f t="shared" si="6"/>
        <v>68021.672889058013</v>
      </c>
      <c r="H27" s="62">
        <f t="shared" si="8"/>
        <v>1.7066375602424966E-2</v>
      </c>
      <c r="I27" s="54">
        <f>IF(AND(F27&gt;='Inputs &amp; Outputs'!B$13,F27&lt;'Inputs &amp; Outputs'!B$13+'Inputs &amp; Outputs'!B$19),1,0)</f>
        <v>1</v>
      </c>
      <c r="J27" s="55">
        <f>I27*'Inputs &amp; Outputs'!B$16*'Benefit Calculations'!G27*('Benefit Calculations'!C$4-'Benefit Calculations'!C$5)</f>
        <v>550.36175524706891</v>
      </c>
      <c r="K27" s="71">
        <f t="shared" si="3"/>
        <v>0.15773432552187638</v>
      </c>
      <c r="L27" s="56">
        <f>K27*'Assumed Values'!$C$8</f>
        <v>1184.269316018248</v>
      </c>
      <c r="M27" s="57">
        <f t="shared" si="0"/>
        <v>249.81792125541551</v>
      </c>
      <c r="N27" s="55">
        <f>I27*'Inputs &amp; Outputs'!B$16*'Benefit Calculations'!G27*('Benefit Calculations'!D$4-'Benefit Calculations'!D$5)</f>
        <v>75.970943192376197</v>
      </c>
      <c r="O27" s="71">
        <f t="shared" si="4"/>
        <v>2.1773361556219919E-2</v>
      </c>
      <c r="P27" s="56">
        <f>ABS(O27*'Assumed Values'!$C$7)</f>
        <v>41.478253764598946</v>
      </c>
      <c r="Q27" s="57">
        <f t="shared" si="1"/>
        <v>8.749708358243959</v>
      </c>
      <c r="T27" s="68">
        <f t="shared" si="5"/>
        <v>0.14309405636423791</v>
      </c>
      <c r="U27" s="69">
        <f>T27*'Assumed Values'!$D$8</f>
        <v>0</v>
      </c>
    </row>
    <row r="28" spans="3:21">
      <c r="F28" s="54">
        <f t="shared" si="2"/>
        <v>2042</v>
      </c>
      <c r="G28" s="63">
        <f t="shared" si="6"/>
        <v>69182.556307687963</v>
      </c>
      <c r="H28" s="62">
        <f t="shared" si="8"/>
        <v>1.7066375602424966E-2</v>
      </c>
      <c r="I28" s="54">
        <f>IF(AND(F28&gt;='Inputs &amp; Outputs'!B$13,F28&lt;'Inputs &amp; Outputs'!B$13+'Inputs &amp; Outputs'!B$19),1,0)</f>
        <v>0</v>
      </c>
      <c r="J28" s="55">
        <f>I28*'Inputs &amp; Outputs'!B$16*'Benefit Calculations'!G28*('Benefit Calculations'!C$4-'Benefit Calculations'!C$5)</f>
        <v>0</v>
      </c>
      <c r="K28" s="71">
        <f t="shared" si="3"/>
        <v>0</v>
      </c>
      <c r="L28" s="56">
        <f>K28*'Assumed Values'!$C$8</f>
        <v>0</v>
      </c>
      <c r="M28" s="57">
        <f t="shared" si="0"/>
        <v>0</v>
      </c>
      <c r="N28" s="55">
        <f>I28*'Inputs &amp; Outputs'!B$16*'Benefit Calculations'!G28*('Benefit Calculations'!D$4-'Benefit Calculations'!D$5)</f>
        <v>0</v>
      </c>
      <c r="O28" s="71">
        <f t="shared" si="4"/>
        <v>0</v>
      </c>
      <c r="P28" s="56">
        <f>ABS(O28*'Assumed Values'!$C$7)</f>
        <v>0</v>
      </c>
      <c r="Q28" s="57">
        <f t="shared" si="1"/>
        <v>0</v>
      </c>
      <c r="T28" s="68">
        <f t="shared" si="5"/>
        <v>0</v>
      </c>
      <c r="U28" s="69">
        <f>T28*'Assumed Values'!$D$8</f>
        <v>0</v>
      </c>
    </row>
    <row r="29" spans="3:21">
      <c r="F29" s="54">
        <f t="shared" si="2"/>
        <v>2043</v>
      </c>
      <c r="G29" s="63">
        <f t="shared" si="6"/>
        <v>70363.251798770885</v>
      </c>
      <c r="H29" s="62">
        <f t="shared" si="8"/>
        <v>1.7066375602424966E-2</v>
      </c>
      <c r="I29" s="54">
        <f>IF(AND(F29&gt;='Inputs &amp; Outputs'!B$13,F29&lt;'Inputs &amp; Outputs'!B$13+'Inputs &amp; Outputs'!B$19),1,0)</f>
        <v>0</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c r="F30" s="54">
        <f t="shared" si="2"/>
        <v>2044</v>
      </c>
      <c r="G30" s="63">
        <f t="shared" si="6"/>
        <v>71564.097482576719</v>
      </c>
      <c r="H30" s="62">
        <f t="shared" si="8"/>
        <v>1.7066375602424966E-2</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79212</v>
      </c>
      <c r="H31" s="62">
        <f t="shared" si="8"/>
        <v>1.7066375602424966E-2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80563.861744219292</v>
      </c>
      <c r="H32" s="62">
        <f t="shared" si="8"/>
        <v>1.7066375602424966E-2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81938.794868727971</v>
      </c>
      <c r="H33" s="62">
        <f t="shared" si="8"/>
        <v>1.7066375602424966E-2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83337.193118367737</v>
      </c>
      <c r="H34" s="62">
        <f t="shared" si="8"/>
        <v>1.7066375602424966E-2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84759.456957777627</v>
      </c>
      <c r="H35" s="62">
        <f t="shared" si="8"/>
        <v>1.7066375602424966E-2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86205.993686076632</v>
      </c>
      <c r="H36" s="62">
        <f t="shared" si="8"/>
        <v>1.7066375602424966E-2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9384.4364693009629</v>
      </c>
      <c r="K37" s="55">
        <f t="shared" ref="K37:Q37" si="9">SUM(K4:K36)</f>
        <v>2.6895905152849364</v>
      </c>
      <c r="L37" s="58">
        <f t="shared" si="9"/>
        <v>20193.445588759299</v>
      </c>
      <c r="M37" s="59">
        <f t="shared" si="9"/>
        <v>8389.7475225966064</v>
      </c>
      <c r="N37" s="55">
        <f t="shared" si="9"/>
        <v>1295.4106696270549</v>
      </c>
      <c r="O37" s="55">
        <f t="shared" si="9"/>
        <v>0.37126621953543515</v>
      </c>
      <c r="P37" s="55">
        <f t="shared" si="9"/>
        <v>707.26214821500412</v>
      </c>
      <c r="Q37" s="59">
        <f t="shared" si="9"/>
        <v>293.84538808553845</v>
      </c>
      <c r="T37" s="68">
        <f>SUM(T4:T36)</f>
        <v>2.4399534820182498</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116</v>
      </c>
      <c r="F2" s="92" t="s">
        <v>117</v>
      </c>
      <c r="G2" s="92" t="s">
        <v>55</v>
      </c>
      <c r="H2" s="92" t="s">
        <v>118</v>
      </c>
      <c r="I2" s="92" t="s">
        <v>119</v>
      </c>
      <c r="J2" s="92" t="s">
        <v>120</v>
      </c>
    </row>
    <row r="3" spans="1:14">
      <c r="A3" s="73" t="s">
        <v>62</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62</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121</v>
      </c>
      <c r="N4" t="s">
        <v>122</v>
      </c>
    </row>
    <row r="5" spans="1:14">
      <c r="A5" s="73" t="s">
        <v>62</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123</v>
      </c>
    </row>
    <row r="6" spans="1:14">
      <c r="A6" s="73" t="s">
        <v>62</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62</v>
      </c>
    </row>
    <row r="7" spans="1:14">
      <c r="A7" s="73" t="s">
        <v>62</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62</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62</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62</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62</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62</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62</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62</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62</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62</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62</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62</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116</v>
      </c>
      <c r="F21" s="92" t="s">
        <v>117</v>
      </c>
      <c r="G21" s="92" t="s">
        <v>55</v>
      </c>
      <c r="H21" s="92" t="s">
        <v>118</v>
      </c>
      <c r="I21" s="92" t="s">
        <v>119</v>
      </c>
      <c r="J21" s="92" t="s">
        <v>120</v>
      </c>
    </row>
    <row r="22" spans="1:10">
      <c r="A22" s="73" t="s">
        <v>123</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123</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123</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123</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123</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123</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123</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123</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123</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123</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123</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123</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123</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123</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123</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123</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116</v>
      </c>
      <c r="F2" s="92" t="s">
        <v>117</v>
      </c>
      <c r="G2" s="92" t="s">
        <v>55</v>
      </c>
      <c r="H2" s="92" t="s">
        <v>118</v>
      </c>
      <c r="I2" s="92" t="s">
        <v>119</v>
      </c>
      <c r="J2" s="92" t="s">
        <v>120</v>
      </c>
    </row>
    <row r="3" spans="1:14">
      <c r="A3" s="73" t="s">
        <v>62</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62</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121</v>
      </c>
      <c r="N4" t="s">
        <v>122</v>
      </c>
    </row>
    <row r="5" spans="1:14">
      <c r="A5" s="73" t="s">
        <v>62</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123</v>
      </c>
    </row>
    <row r="6" spans="1:14">
      <c r="A6" s="73" t="s">
        <v>62</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62</v>
      </c>
    </row>
    <row r="7" spans="1:14">
      <c r="A7" s="73" t="s">
        <v>62</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62</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62</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62</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62</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62</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62</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62</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62</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62</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62</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62</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116</v>
      </c>
      <c r="F21" s="92" t="s">
        <v>117</v>
      </c>
      <c r="G21" s="92" t="s">
        <v>55</v>
      </c>
      <c r="H21" s="92" t="s">
        <v>118</v>
      </c>
      <c r="I21" s="92" t="s">
        <v>119</v>
      </c>
      <c r="J21" s="92" t="s">
        <v>120</v>
      </c>
    </row>
    <row r="22" spans="1:10">
      <c r="A22" s="73" t="s">
        <v>123</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123</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123</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123</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123</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123</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123</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123</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123</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123</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123</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123</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123</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123</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123</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123</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227C74-B2AD-4181-9A69-3F5744038FA3}"/>
</file>

<file path=customXml/itemProps2.xml><?xml version="1.0" encoding="utf-8"?>
<ds:datastoreItem xmlns:ds="http://schemas.openxmlformats.org/officeDocument/2006/customXml" ds:itemID="{B104E267-3AC3-4517-8904-F7105ED4FBBD}"/>
</file>

<file path=customXml/itemProps3.xml><?xml version="1.0" encoding="utf-8"?>
<ds:datastoreItem xmlns:ds="http://schemas.openxmlformats.org/officeDocument/2006/customXml" ds:itemID="{B23677E2-D8B6-4809-AA69-F4AB6F746094}"/>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Peter Barrilleaux</cp:lastModifiedBy>
  <cp:revision/>
  <dcterms:created xsi:type="dcterms:W3CDTF">2012-07-25T15:48:32Z</dcterms:created>
  <dcterms:modified xsi:type="dcterms:W3CDTF">2018-10-30T22:35:25Z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