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6_HW_SH288/"/>
    </mc:Choice>
  </mc:AlternateContent>
  <xr:revisionPtr revIDLastSave="0" documentId="10_ncr:100000_{6E679C5D-6DCA-439E-89E0-1A5500B180CC}"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T4" i="12" s="1"/>
  <c r="U4" i="12" s="1"/>
  <c r="N4" i="12"/>
  <c r="B11" i="12"/>
  <c r="B9" i="12"/>
  <c r="O9" i="12" s="1"/>
  <c r="B10" i="12"/>
  <c r="O31"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s="1"/>
  <c r="B14" i="12"/>
  <c r="B13" i="12"/>
  <c r="I24" i="9"/>
  <c r="H24" i="9"/>
  <c r="G24" i="9"/>
  <c r="F24" i="9"/>
  <c r="E24" i="9"/>
  <c r="D24" i="9"/>
  <c r="S4" i="12"/>
  <c r="O35" i="12"/>
  <c r="O34" i="12"/>
  <c r="O36" i="12"/>
  <c r="O17" i="12"/>
  <c r="O28" i="12"/>
  <c r="O25" i="12"/>
  <c r="O26" i="12"/>
  <c r="O18" i="12"/>
  <c r="O14" i="12"/>
  <c r="O23"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O27" i="12" l="1"/>
  <c r="O33" i="12"/>
  <c r="O29" i="12"/>
  <c r="O20" i="12"/>
  <c r="O32" i="12"/>
  <c r="O11" i="12"/>
  <c r="O22" i="12"/>
  <c r="O16" i="12"/>
  <c r="O24" i="12"/>
  <c r="O15" i="12"/>
  <c r="O12" i="12"/>
  <c r="O13" i="12"/>
  <c r="O30" i="12"/>
  <c r="O19" i="12"/>
  <c r="O21" i="12"/>
  <c r="O10" i="12"/>
  <c r="O8" i="12"/>
  <c r="O7" i="12"/>
  <c r="O5" i="12"/>
  <c r="N5" i="12" s="1"/>
  <c r="B17" i="12"/>
  <c r="O6" i="12"/>
  <c r="B16" i="12"/>
  <c r="B15" i="12"/>
  <c r="P5" i="12" s="1"/>
  <c r="Q4" i="12"/>
  <c r="N6" i="12" l="1"/>
  <c r="N7" i="12" s="1"/>
  <c r="N8" i="12" s="1"/>
  <c r="N9" i="12" s="1"/>
  <c r="N10" i="12"/>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E4" i="12"/>
  <c r="E5" i="12" s="1"/>
  <c r="E6" i="12" s="1"/>
  <c r="E19" i="12" s="1"/>
  <c r="F26" i="12" s="1"/>
  <c r="Q5" i="12"/>
  <c r="R5" i="12" s="1"/>
  <c r="P6" i="12"/>
  <c r="E17" i="12" l="1"/>
  <c r="D26" i="12" s="1"/>
  <c r="E22" i="12"/>
  <c r="I26" i="12" s="1"/>
  <c r="I27" i="12" s="1"/>
  <c r="E21" i="12"/>
  <c r="H26" i="12" s="1"/>
  <c r="H32" i="12" s="1"/>
  <c r="E18" i="12"/>
  <c r="E26" i="12" s="1"/>
  <c r="E32" i="12" s="1"/>
  <c r="E20" i="12"/>
  <c r="G26" i="12" s="1"/>
  <c r="G30" i="12" s="1"/>
  <c r="Q6" i="12"/>
  <c r="P7" i="12"/>
  <c r="R6" i="12"/>
  <c r="T5" i="12"/>
  <c r="U5" i="12" s="1"/>
  <c r="I33" i="12"/>
  <c r="I31" i="12"/>
  <c r="I30" i="12"/>
  <c r="I29" i="12"/>
  <c r="I28" i="12"/>
  <c r="I32" i="12"/>
  <c r="H29" i="12"/>
  <c r="H30" i="12"/>
  <c r="H31" i="12"/>
  <c r="H33" i="12"/>
  <c r="H28" i="12"/>
  <c r="H27" i="12"/>
  <c r="G33" i="12"/>
  <c r="F28" i="12"/>
  <c r="F33" i="12"/>
  <c r="F29" i="12"/>
  <c r="F31" i="12"/>
  <c r="F27" i="12"/>
  <c r="F32" i="12"/>
  <c r="F30" i="12"/>
  <c r="D30" i="12"/>
  <c r="D29" i="12"/>
  <c r="D27" i="12"/>
  <c r="D28" i="12"/>
  <c r="D31" i="12"/>
  <c r="D33" i="12"/>
  <c r="D32" i="12"/>
  <c r="E30" i="12"/>
  <c r="E31" i="12"/>
  <c r="E33" i="12"/>
  <c r="E27" i="12"/>
  <c r="E28" i="12"/>
  <c r="E29" i="12"/>
  <c r="G28" i="12" l="1"/>
  <c r="J30" i="12"/>
  <c r="G31" i="12"/>
  <c r="J31" i="12" s="1"/>
  <c r="G27" i="12"/>
  <c r="J27" i="12" s="1"/>
  <c r="G32" i="12"/>
  <c r="J32" i="12" s="1"/>
  <c r="G29" i="12"/>
  <c r="J29" i="12" s="1"/>
  <c r="T6" i="12"/>
  <c r="U6" i="12" s="1"/>
  <c r="Q7" i="12"/>
  <c r="R7" i="12" s="1"/>
  <c r="P8" i="12"/>
  <c r="J33" i="12"/>
  <c r="J28" i="12"/>
  <c r="J5" i="12" l="1"/>
  <c r="R9" i="12" s="1"/>
  <c r="T9" i="12" s="1"/>
  <c r="U9" i="12" s="1"/>
  <c r="T7" i="12"/>
  <c r="U7" i="12" s="1"/>
  <c r="Q8" i="12"/>
  <c r="R8" i="12" s="1"/>
  <c r="T8" i="12" s="1"/>
  <c r="U8" i="12" s="1"/>
  <c r="P9" i="12"/>
  <c r="P10" i="12" l="1"/>
  <c r="Q9" i="12"/>
  <c r="P11" i="12" l="1"/>
  <c r="Q10" i="12"/>
  <c r="R10" i="12" s="1"/>
  <c r="T10" i="12" l="1"/>
  <c r="U10" i="12" s="1"/>
  <c r="Q11" i="12"/>
  <c r="R11" i="12" s="1"/>
  <c r="P12" i="12"/>
  <c r="Q12" i="12" l="1"/>
  <c r="R12" i="12" s="1"/>
  <c r="P13" i="12"/>
  <c r="T11" i="12"/>
  <c r="U11" i="12" s="1"/>
  <c r="T12" i="12" l="1"/>
  <c r="U12" i="12" s="1"/>
  <c r="P14" i="12"/>
  <c r="Q13" i="12"/>
  <c r="R13" i="12" s="1"/>
  <c r="T13" i="12" l="1"/>
  <c r="U13" i="12" s="1"/>
  <c r="Q14" i="12"/>
  <c r="R14" i="12" s="1"/>
  <c r="P15" i="12"/>
  <c r="T14" i="12" l="1"/>
  <c r="U14" i="12" s="1"/>
  <c r="P16" i="12"/>
  <c r="Q15" i="12"/>
  <c r="R15" i="12" s="1"/>
  <c r="T15" i="12" l="1"/>
  <c r="U15" i="12" s="1"/>
  <c r="P17" i="12"/>
  <c r="Q16" i="12"/>
  <c r="R16" i="12" s="1"/>
  <c r="T16" i="12" l="1"/>
  <c r="U16" i="12" s="1"/>
  <c r="P18" i="12"/>
  <c r="Q17" i="12"/>
  <c r="R17" i="12" s="1"/>
  <c r="T17" i="12" l="1"/>
  <c r="U17" i="12" s="1"/>
  <c r="Q18" i="12"/>
  <c r="R18" i="12" s="1"/>
  <c r="P19" i="12"/>
  <c r="T18" i="12" l="1"/>
  <c r="U18" i="12" s="1"/>
  <c r="P20" i="12"/>
  <c r="Q19" i="12"/>
  <c r="R19" i="12" s="1"/>
  <c r="T19" i="12" l="1"/>
  <c r="U19" i="12" s="1"/>
  <c r="P21" i="12"/>
  <c r="Q20" i="12"/>
  <c r="R20" i="12" s="1"/>
  <c r="P22" i="12" l="1"/>
  <c r="Q21" i="12"/>
  <c r="R21" i="12" s="1"/>
  <c r="T20" i="12"/>
  <c r="U20" i="12" s="1"/>
  <c r="T21" i="12" l="1"/>
  <c r="U21" i="12" s="1"/>
  <c r="P23" i="12"/>
  <c r="Q22" i="12"/>
  <c r="R22" i="12" s="1"/>
  <c r="T22" i="12" l="1"/>
  <c r="U22" i="12" s="1"/>
  <c r="P24" i="12"/>
  <c r="Q23" i="12"/>
  <c r="R23" i="12" s="1"/>
  <c r="T23" i="12" l="1"/>
  <c r="U23" i="12" s="1"/>
  <c r="P25" i="12"/>
  <c r="Q24" i="12"/>
  <c r="R24" i="12" s="1"/>
  <c r="P26" i="12" l="1"/>
  <c r="Q25" i="12"/>
  <c r="T24" i="12"/>
  <c r="U24" i="12" s="1"/>
  <c r="R25" i="12"/>
  <c r="P27" i="12" l="1"/>
  <c r="Q26" i="12"/>
  <c r="T25" i="12"/>
  <c r="U25" i="12" s="1"/>
  <c r="R26" i="12"/>
  <c r="P28" i="12" l="1"/>
  <c r="Q27" i="12"/>
  <c r="R27" i="12" s="1"/>
  <c r="T26" i="12"/>
  <c r="U26" i="12" s="1"/>
  <c r="T27" i="12" l="1"/>
  <c r="U27" i="12" s="1"/>
  <c r="P29" i="12"/>
  <c r="Q28" i="12"/>
  <c r="R28" i="12" s="1"/>
  <c r="T28" i="12" l="1"/>
  <c r="U28" i="12" s="1"/>
  <c r="Q29" i="12"/>
  <c r="R29" i="12" s="1"/>
  <c r="P30" i="12"/>
  <c r="T29" i="12" l="1"/>
  <c r="U29" i="12" s="1"/>
  <c r="P31" i="12"/>
  <c r="Q30" i="12"/>
  <c r="R30" i="12" s="1"/>
  <c r="T30" i="12" l="1"/>
  <c r="U30" i="12" s="1"/>
  <c r="Q31" i="12"/>
  <c r="R31" i="12" s="1"/>
  <c r="P32" i="12"/>
  <c r="T31" i="12" l="1"/>
  <c r="U31" i="12" s="1"/>
  <c r="P33" i="12"/>
  <c r="Q32" i="12"/>
  <c r="R32" i="12" s="1"/>
  <c r="T32" i="12" l="1"/>
  <c r="U32" i="12" s="1"/>
  <c r="P34" i="12"/>
  <c r="Q33" i="12"/>
  <c r="R33" i="12" s="1"/>
  <c r="T33" i="12" l="1"/>
  <c r="U33" i="12" s="1"/>
  <c r="Q34" i="12"/>
  <c r="R34" i="12" s="1"/>
  <c r="P35" i="12"/>
  <c r="T34" i="12" l="1"/>
  <c r="U34" i="12" s="1"/>
  <c r="Q35" i="12"/>
  <c r="R35" i="12" s="1"/>
  <c r="P36" i="12"/>
  <c r="Q36" i="12" s="1"/>
  <c r="T35" i="12" l="1"/>
  <c r="U35" i="12" s="1"/>
  <c r="R36" i="12"/>
  <c r="T36" i="12" s="1"/>
  <c r="U36" i="12" s="1"/>
  <c r="U37" i="12" l="1"/>
  <c r="C37" i="11"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<sst xmlns="http://schemas.openxmlformats.org/spreadsheetml/2006/main" count="441" uniqueCount="286">
  <si>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</si>
  <si>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</si>
  <si>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</si>
  <si>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</si>
  <si>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</si>
  <si>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</si>
  <si>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</si>
  <si>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</si>
  <si>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</si>
  <si>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</si>
  <si>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</si>
  <si>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</si>
  <si>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</si>
  <si>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</si>
  <si>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</si>
  <si>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</si>
  <si>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</si>
  <si>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</si>
  <si>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</si>
  <si>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</si>
  <si>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</si>
  <si>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</si>
  <si>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</si>
  <si>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</si>
  <si>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</si>
  <si>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</si>
  <si>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</si>
  <si>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</si>
  <si>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</si>
  <si>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</si>
  <si>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</si>
  <si>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</si>
  <si>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</si>
  <si>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</si>
  <si>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</si>
  <si>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</si>
  <si>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</si>
  <si>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</si>
  <si>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</si>
  <si>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</si>
  <si>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</si>
  <si>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</si>
  <si>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</si>
  <si>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</si>
  <si>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</si>
  <si>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</si>
  <si>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</si>
  <si>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</si>
  <si>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288/Rodeo Palms Pkwy Grade Separation</t>
  </si>
  <si>
    <t>County</t>
  </si>
  <si>
    <t>Brazoria</t>
  </si>
  <si>
    <t>Data entered by the sponsors</t>
  </si>
  <si>
    <t>Facility Type</t>
  </si>
  <si>
    <t>Non-Freeway</t>
  </si>
  <si>
    <t>HGAC regional travel demand model data provided by HGAC upon request</t>
  </si>
  <si>
    <t>Street Name:</t>
  </si>
  <si>
    <t>SH 288</t>
  </si>
  <si>
    <t>Populated based on selection in cell "C18"</t>
  </si>
  <si>
    <t>Limits (From)</t>
  </si>
  <si>
    <t>At Rodeo Palms Pkwy</t>
  </si>
  <si>
    <t>Benefits calculated by the template</t>
  </si>
  <si>
    <t>Limits (To)</t>
  </si>
  <si>
    <t>.</t>
  </si>
  <si>
    <t>Length (in Miles)</t>
  </si>
  <si>
    <t>Application ID Number:</t>
  </si>
  <si>
    <t>Sponsor ID Number (CSJ, etc.):</t>
  </si>
  <si>
    <t>0598-02-111</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</si>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</sst>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4">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3" t="s">
        <v>11</v>
      </c>
      <c r="E6" s="134"/>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3" t="s">
        <v>11</v>
      </c>
      <c r="E6" s="134"/>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3" t="s">
        <v>37</v>
      </c>
      <c r="E8" s="134"/>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4" zoomScaleNormal="100" workbookViewId="0">
      <selection activeCell="C32" sqref="C32"/>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ht="30" x14ac:dyDescent="0.25">
      <c r="B6" s="3" t="s">
        <v>47</v>
      </c>
      <c r="C6" s="131" t="s">
        <v>48</v>
      </c>
      <c r="D6" s="79"/>
    </row>
    <row r="7" spans="2:19" x14ac:dyDescent="0.25">
      <c r="B7" s="3" t="s">
        <v>49</v>
      </c>
      <c r="C7" s="132"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132" t="s">
        <v>59</v>
      </c>
      <c r="D10" s="54"/>
      <c r="E10" s="8"/>
      <c r="F10" t="s">
        <v>60</v>
      </c>
    </row>
    <row r="11" spans="2:19" x14ac:dyDescent="0.25">
      <c r="B11" s="3" t="s">
        <v>61</v>
      </c>
      <c r="C11" s="98" t="s">
        <v>62</v>
      </c>
      <c r="D11" s="54"/>
    </row>
    <row r="12" spans="2:19" x14ac:dyDescent="0.25">
      <c r="B12" s="3" t="s">
        <v>63</v>
      </c>
      <c r="C12" s="98">
        <v>1.98</v>
      </c>
      <c r="D12" s="80"/>
      <c r="N12" s="135"/>
      <c r="O12" s="135"/>
      <c r="P12" s="135"/>
      <c r="Q12" s="135"/>
      <c r="R12" s="135"/>
      <c r="S12" s="135"/>
    </row>
    <row r="13" spans="2:19" x14ac:dyDescent="0.25">
      <c r="B13" s="3" t="s">
        <v>64</v>
      </c>
      <c r="C13" s="98"/>
      <c r="D13" s="54"/>
    </row>
    <row r="14" spans="2:19" x14ac:dyDescent="0.25">
      <c r="B14" s="3" t="s">
        <v>65</v>
      </c>
      <c r="C14" s="132" t="s">
        <v>66</v>
      </c>
      <c r="D14" s="54"/>
      <c r="G14" s="91"/>
    </row>
    <row r="15" spans="2:19" x14ac:dyDescent="0.25">
      <c r="C15" s="54"/>
      <c r="D15" s="54"/>
    </row>
    <row r="16" spans="2:19" x14ac:dyDescent="0.25">
      <c r="B16" s="5" t="s">
        <v>67</v>
      </c>
    </row>
    <row r="17" spans="2:13" x14ac:dyDescent="0.25">
      <c r="B17" s="3" t="s">
        <v>68</v>
      </c>
      <c r="C17" s="98">
        <v>2023</v>
      </c>
      <c r="D17" s="81"/>
    </row>
    <row r="18" spans="2:13" x14ac:dyDescent="0.25">
      <c r="B18" s="3" t="s">
        <v>69</v>
      </c>
      <c r="C18" s="99" t="s">
        <v>70</v>
      </c>
    </row>
    <row r="19" spans="2:13" x14ac:dyDescent="0.25">
      <c r="B19" s="100" t="s">
        <v>71</v>
      </c>
      <c r="C19" s="129">
        <f>VLOOKUP(C18,'CRF Lookup Table'!C3:F84,2, FALSE)</f>
        <v>514</v>
      </c>
      <c r="D19" s="82"/>
    </row>
    <row r="20" spans="2:13" x14ac:dyDescent="0.25">
      <c r="B20" s="100" t="s">
        <v>72</v>
      </c>
      <c r="C20" s="130">
        <f>VLOOKUP(C18,'CRF Lookup Table'!C3:F84,3, FALSE)</f>
        <v>0.8</v>
      </c>
      <c r="D20" s="54"/>
      <c r="F20" s="58"/>
    </row>
    <row r="21" spans="2:13" x14ac:dyDescent="0.25">
      <c r="B21" s="100" t="s">
        <v>73</v>
      </c>
      <c r="C21" s="129">
        <f>VLOOKUP(C18,'CRF Lookup Table'!C3:F84,4, FALSE)</f>
        <v>30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7">
        <v>82749</v>
      </c>
      <c r="D25" s="83"/>
      <c r="I25" s="42"/>
    </row>
    <row r="26" spans="2:13" x14ac:dyDescent="0.25">
      <c r="I26" s="42"/>
    </row>
    <row r="27" spans="2:13" x14ac:dyDescent="0.25">
      <c r="B27" s="74" t="s">
        <v>76</v>
      </c>
      <c r="C27" s="75">
        <v>39844</v>
      </c>
      <c r="D27" s="83"/>
      <c r="I27" s="42"/>
    </row>
    <row r="28" spans="2:13" x14ac:dyDescent="0.25">
      <c r="B28" s="74" t="s">
        <v>77</v>
      </c>
      <c r="C28" s="75">
        <v>90617</v>
      </c>
      <c r="D28" s="83"/>
      <c r="I28" s="42"/>
    </row>
    <row r="29" spans="2:13" x14ac:dyDescent="0.25">
      <c r="B29" s="74" t="s">
        <v>78</v>
      </c>
      <c r="C29" s="76">
        <v>46073</v>
      </c>
      <c r="D29" s="59"/>
      <c r="I29" s="42"/>
    </row>
    <row r="30" spans="2:13" x14ac:dyDescent="0.25">
      <c r="B30" s="74" t="s">
        <v>79</v>
      </c>
      <c r="C30" s="76">
        <v>60406</v>
      </c>
      <c r="D30" s="59"/>
      <c r="I30" s="42"/>
    </row>
    <row r="31" spans="2:13" x14ac:dyDescent="0.25">
      <c r="B31" s="74" t="s">
        <v>80</v>
      </c>
      <c r="C31" s="75">
        <v>61365</v>
      </c>
      <c r="D31" s="83"/>
      <c r="H31" s="60"/>
    </row>
    <row r="32" spans="2:13" x14ac:dyDescent="0.25">
      <c r="B32" s="74" t="s">
        <v>81</v>
      </c>
      <c r="C32" s="75">
        <v>60407</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174413.88839146669</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zoomScale="85" zoomScaleNormal="85" workbookViewId="0">
      <selection activeCell="U37" sqref="U37"/>
    </sheetView>
  </sheetViews>
  <sheetFormatPr defaultColWidth="9.140625"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91795.721602991529</v>
      </c>
      <c r="G4" s="138" t="s">
        <v>95</v>
      </c>
      <c r="H4" s="138"/>
      <c r="I4" s="138"/>
      <c r="J4" s="138"/>
      <c r="L4" s="107"/>
      <c r="M4" s="108">
        <v>2018</v>
      </c>
      <c r="N4" s="109">
        <f>_2018_Volume_ADT</f>
        <v>82749</v>
      </c>
      <c r="O4" s="110" t="s">
        <v>96</v>
      </c>
      <c r="P4" s="111">
        <f>MIN(B12,1)</f>
        <v>0.43969674564375338</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30</v>
      </c>
      <c r="D5" s="105" t="s">
        <v>98</v>
      </c>
      <c r="E5" s="106">
        <f>$E$4*'Inputs &amp; Outputs'!$C$12</f>
        <v>181755.52877392323</v>
      </c>
      <c r="G5" s="139" t="s">
        <v>99</v>
      </c>
      <c r="H5" s="139"/>
      <c r="I5" s="139"/>
      <c r="J5" s="112">
        <f>SUMPRODUCT(Possible_Crash_Reductions,'Value of Statistical Life'!E5:E11)</f>
        <v>16308130.766702566</v>
      </c>
      <c r="L5" s="107"/>
      <c r="M5" s="11">
        <f t="shared" ref="M5:M36" si="1">M4+1</f>
        <v>2019</v>
      </c>
      <c r="N5" s="113">
        <f>N4+(N4*O5)</f>
        <v>84484.043469851313</v>
      </c>
      <c r="O5" s="114">
        <f t="shared" ref="O5:O11" si="2">IF(ISERROR(_2025_2045_Demand_Growth),_2018_2045_Demand_Growth,_2018_2025_Demand_Growth)</f>
        <v>2.0967546071267495E-2</v>
      </c>
      <c r="P5" s="115">
        <f t="shared" ref="P5:P11" si="3">P4*(1+IFERROR(_2018_2025_V_C_Growth,_2018_2045_V_C_Growth))</f>
        <v>0.47569278038157253</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47256437.481220037</v>
      </c>
      <c r="L6" s="107"/>
      <c r="M6" s="108">
        <f t="shared" si="1"/>
        <v>2020</v>
      </c>
      <c r="N6" s="113">
        <f t="shared" ref="N6:N36" si="6">N5+(N5*O6)</f>
        <v>86255.466543592382</v>
      </c>
      <c r="O6" s="114">
        <f t="shared" si="2"/>
        <v>2.0967546071267495E-2</v>
      </c>
      <c r="P6" s="115">
        <f t="shared" si="3"/>
        <v>0.51463565184193605</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88064.032012243828</v>
      </c>
      <c r="O7" s="114">
        <f t="shared" si="2"/>
        <v>2.0967546071267495E-2</v>
      </c>
      <c r="P7" s="115">
        <f t="shared" si="3"/>
        <v>0.55676660456004312</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89910.518660682123</v>
      </c>
      <c r="O8" s="114">
        <f t="shared" si="2"/>
        <v>2.0967546071267495E-2</v>
      </c>
      <c r="P8" s="115">
        <f t="shared" si="3"/>
        <v>0.60234663269797861</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x14ac:dyDescent="0.25">
      <c r="A9" s="40" t="s">
        <v>103</v>
      </c>
      <c r="B9" s="119">
        <f>(_2025_Peak_Period_Volume/'Inputs &amp; Outputs'!$C$27)^(1/(2025-2018))-1</f>
        <v>2.0967546071267495E-2</v>
      </c>
      <c r="D9" s="40" t="s">
        <v>104</v>
      </c>
      <c r="E9" s="120">
        <f>IF('Inputs &amp; Outputs'!$C$8='CRASH RATES'!$D$3, VLOOKUP('Inputs &amp; Outputs'!$C$7,'CRASH RATES'!$C$14:$J$21,3,FALSE), VLOOKUP('Inputs &amp; Outputs'!$C$7,'CRASH RATES'!$C$28:$J$35,3,FALSE))</f>
        <v>2.3625405586197226</v>
      </c>
      <c r="F9" s="86"/>
      <c r="L9" s="107"/>
      <c r="M9" s="11">
        <f t="shared" si="1"/>
        <v>2023</v>
      </c>
      <c r="N9" s="113">
        <f t="shared" si="6"/>
        <v>91795.721602991529</v>
      </c>
      <c r="O9" s="114">
        <f t="shared" si="2"/>
        <v>2.0967546071267495E-2</v>
      </c>
      <c r="P9" s="115">
        <f t="shared" si="3"/>
        <v>0.65165809685962572</v>
      </c>
      <c r="Q9" s="116">
        <f t="shared" si="4"/>
        <v>1</v>
      </c>
      <c r="R9" s="31">
        <f>IF(M9=Year_Open_to_Traffic?,Calculations!$J$5,Calculations!R8+(Calculations!R8*Calculations!O9*Q9))</f>
        <v>16308130.766702566</v>
      </c>
      <c r="S9" s="46">
        <f t="shared" si="0"/>
        <v>1</v>
      </c>
      <c r="T9" s="31">
        <f t="shared" si="5"/>
        <v>16308.130766702567</v>
      </c>
      <c r="U9" s="32">
        <f>T9/(1+Real_Discount_Rate)^(Calculations!M9-'Assumed Values'!$C$5)</f>
        <v>11627.47184987133</v>
      </c>
    </row>
    <row r="10" spans="1:21" ht="15.75" x14ac:dyDescent="0.25">
      <c r="A10" s="40" t="s">
        <v>105</v>
      </c>
      <c r="B10" s="119">
        <f>(_2045_Peak_Period_Volume/_2025_Peak_Period_Volume)^(1/(2045-2025))-1</f>
        <v>1.443380295320118E-2</v>
      </c>
      <c r="D10" s="40" t="s">
        <v>106</v>
      </c>
      <c r="E10" s="120">
        <f>IF('Inputs &amp; Outputs'!$C$8='CRASH RATES'!$D$3, VLOOKUP('Inputs &amp; Outputs'!$C$7,'CRASH RATES'!$C$14:$J$21,4,FALSE), VLOOKUP('Inputs &amp; Outputs'!$C$7,'CRASH RATES'!$C$28:$J$35,4,FALSE))</f>
        <v>8.4203368627728583</v>
      </c>
      <c r="F10" s="86"/>
      <c r="L10" s="107"/>
      <c r="M10" s="108">
        <f t="shared" si="1"/>
        <v>2024</v>
      </c>
      <c r="N10" s="113">
        <f t="shared" si="6"/>
        <v>93720.452624847501</v>
      </c>
      <c r="O10" s="114">
        <f t="shared" si="2"/>
        <v>2.0967546071267495E-2</v>
      </c>
      <c r="P10" s="115">
        <f t="shared" si="3"/>
        <v>0.70500647326709043</v>
      </c>
      <c r="Q10" s="116">
        <f t="shared" si="4"/>
        <v>1</v>
      </c>
      <c r="R10" s="31">
        <f>IF(M10=Year_Open_to_Traffic?,Calculations!$J$5,Calculations!R9+(Calculations!R9*Calculations!O10*Q10))</f>
        <v>16650072.249889657</v>
      </c>
      <c r="S10" s="46">
        <f t="shared" si="0"/>
        <v>1</v>
      </c>
      <c r="T10" s="31">
        <f t="shared" si="5"/>
        <v>16650.072249889658</v>
      </c>
      <c r="U10" s="32">
        <f>T10/(1+Real_Discount_Rate)^(Calculations!M10-'Assumed Values'!$C$5)</f>
        <v>11094.646169697078</v>
      </c>
    </row>
    <row r="11" spans="1:21" ht="15.75" x14ac:dyDescent="0.25">
      <c r="A11" s="40" t="s">
        <v>107</v>
      </c>
      <c r="B11" s="119">
        <f>(_2045_Peak_Period_Volume/'Inputs &amp; Outputs'!$C$27)^(1/(2045-2018))-1</f>
        <v>1.612371055634676E-2</v>
      </c>
      <c r="D11" s="40" t="s">
        <v>108</v>
      </c>
      <c r="E11" s="120">
        <f>IF('Inputs &amp; Outputs'!$C$8='CRASH RATES'!$D$3, VLOOKUP('Inputs &amp; Outputs'!$C$7,'CRASH RATES'!$C$14:$J$21,5,FALSE), VLOOKUP('Inputs &amp; Outputs'!$C$7,'CRASH RATES'!$C$28:$J$35,5,FALSE))</f>
        <v>41.314170794324376</v>
      </c>
      <c r="F11" s="86"/>
      <c r="L11" s="107"/>
      <c r="M11" s="11">
        <f t="shared" si="1"/>
        <v>2025</v>
      </c>
      <c r="N11" s="113">
        <f t="shared" si="6"/>
        <v>95685.540533079038</v>
      </c>
      <c r="O11" s="114">
        <f t="shared" si="2"/>
        <v>2.0967546071267495E-2</v>
      </c>
      <c r="P11" s="115">
        <f t="shared" si="3"/>
        <v>0.7627222461344898</v>
      </c>
      <c r="Q11" s="116">
        <f t="shared" si="4"/>
        <v>1</v>
      </c>
      <c r="R11" s="31">
        <f>IF(M11=Year_Open_to_Traffic?,Calculations!$J$5,Calculations!R10+(Calculations!R10*Calculations!O11*Q11))</f>
        <v>16999183.406879149</v>
      </c>
      <c r="S11" s="46">
        <f t="shared" si="0"/>
        <v>1</v>
      </c>
      <c r="T11" s="31">
        <f t="shared" si="5"/>
        <v>16999.18340687915</v>
      </c>
      <c r="U11" s="32">
        <f>T11/(1+Real_Discount_Rate)^(Calculations!M11-'Assumed Values'!$C$5)</f>
        <v>10586.237078882816</v>
      </c>
    </row>
    <row r="12" spans="1:21" ht="15.75" x14ac:dyDescent="0.25">
      <c r="A12" s="40" t="s">
        <v>109</v>
      </c>
      <c r="B12" s="121">
        <f>'Inputs &amp; Outputs'!C27/_2018_Peak_Period_Capacity</f>
        <v>0.43969674564375338</v>
      </c>
      <c r="D12" s="40" t="s">
        <v>110</v>
      </c>
      <c r="E12" s="120">
        <f>IF('Inputs &amp; Outputs'!$C$8='CRASH RATES'!$D$3, VLOOKUP('Inputs &amp; Outputs'!$C$7,'CRASH RATES'!$C$14:$J$21,6,FALSE), VLOOKUP('Inputs &amp; Outputs'!$C$7,'CRASH RATES'!$C$28:$J$35,6,FALSE))</f>
        <v>65.121310269646187</v>
      </c>
      <c r="F12" s="86"/>
      <c r="L12" s="107"/>
      <c r="M12" s="108">
        <f t="shared" si="1"/>
        <v>2026</v>
      </c>
      <c r="N12" s="113">
        <f t="shared" si="6"/>
        <v>97066.646770604042</v>
      </c>
      <c r="O12" s="114">
        <f t="shared" ref="O12:O36" si="7">IFERROR(_2025_2045_Demand_Growth,_2018_2045_Demand_Growth)</f>
        <v>1.443380295320118E-2</v>
      </c>
      <c r="P12" s="115">
        <f t="shared" ref="P12:P36" si="8">P11*(1+IFERROR(_2025_2040_V_C_Growth,_2018_2045_V_C_Growth))</f>
        <v>0.77373058830642027</v>
      </c>
      <c r="Q12" s="116">
        <f t="shared" si="4"/>
        <v>1</v>
      </c>
      <c r="R12" s="31">
        <f>IF(M12=Year_Open_to_Traffic?,Calculations!$J$5,Calculations!R11+(Calculations!R11*Calculations!O12*Q12))</f>
        <v>17244546.270539369</v>
      </c>
      <c r="S12" s="46">
        <f t="shared" si="0"/>
        <v>1</v>
      </c>
      <c r="T12" s="31">
        <f t="shared" si="5"/>
        <v>17244.546270539369</v>
      </c>
      <c r="U12" s="32">
        <f>T12/(1+Real_Discount_Rate)^(Calculations!M12-'Assumed Values'!$C$5)</f>
        <v>10036.482933546991</v>
      </c>
    </row>
    <row r="13" spans="1:21" ht="15.75" x14ac:dyDescent="0.25">
      <c r="A13" s="40" t="s">
        <v>111</v>
      </c>
      <c r="B13" s="121">
        <f>_2025_Peak_Period_Volume/_2025_Peak_Period_Capacity</f>
        <v>0.76272224613448991</v>
      </c>
      <c r="D13" s="40" t="s">
        <v>112</v>
      </c>
      <c r="E13" s="120">
        <f>IF('Inputs &amp; Outputs'!$C$8='CRASH RATES'!$D$3, VLOOKUP('Inputs &amp; Outputs'!$C$7,'CRASH RATES'!$C$14:$J$21,7,FALSE), VLOOKUP('Inputs &amp; Outputs'!$C$7,'CRASH RATES'!$C$28:$J$35,7,FALSE))</f>
        <v>615.29037061283384</v>
      </c>
      <c r="F13" s="86"/>
      <c r="L13" s="107"/>
      <c r="M13" s="11">
        <f t="shared" si="1"/>
        <v>2027</v>
      </c>
      <c r="N13" s="113">
        <f t="shared" si="6"/>
        <v>98467.687623418926</v>
      </c>
      <c r="O13" s="114">
        <f t="shared" si="7"/>
        <v>1.443380295320118E-2</v>
      </c>
      <c r="P13" s="115">
        <f t="shared" si="8"/>
        <v>0.78489781347670096</v>
      </c>
      <c r="Q13" s="116">
        <f t="shared" si="4"/>
        <v>1</v>
      </c>
      <c r="R13" s="31">
        <f>IF(M13=Year_Open_to_Traffic?,Calculations!$J$5,Calculations!R12+(Calculations!R12*Calculations!O13*Q13))</f>
        <v>17493450.653425694</v>
      </c>
      <c r="S13" s="46">
        <f t="shared" si="0"/>
        <v>1</v>
      </c>
      <c r="T13" s="31">
        <f t="shared" si="5"/>
        <v>17493.450653425694</v>
      </c>
      <c r="U13" s="32">
        <f>T13/(1+Real_Discount_Rate)^(Calculations!M13-'Assumed Values'!$C$5)</f>
        <v>9515.2780846289479</v>
      </c>
    </row>
    <row r="14" spans="1:21" ht="15.75" x14ac:dyDescent="0.25">
      <c r="A14" s="40" t="s">
        <v>113</v>
      </c>
      <c r="B14" s="121">
        <f>_2045_Peak_Period_Volume/_2045_Peak_Period_Capacity</f>
        <v>1.0158590891784065</v>
      </c>
      <c r="D14" s="40" t="s">
        <v>114</v>
      </c>
      <c r="E14" s="120">
        <f>IF('Inputs &amp; Outputs'!$C$8='CRASH RATES'!$D$3, VLOOKUP('Inputs &amp; Outputs'!$C$7,'CRASH RATES'!$C$14:$J$21,8,FALSE), VLOOKUP('Inputs &amp; Outputs'!$C$7,'CRASH RATES'!$C$28:$J$35,8,FALSE))</f>
        <v>20.354195581954531</v>
      </c>
      <c r="F14" s="86"/>
      <c r="L14" s="107"/>
      <c r="M14" s="108">
        <f>M13+1</f>
        <v>2028</v>
      </c>
      <c r="N14" s="113">
        <f t="shared" si="6"/>
        <v>99888.950823832725</v>
      </c>
      <c r="O14" s="114">
        <f t="shared" si="7"/>
        <v>1.443380295320118E-2</v>
      </c>
      <c r="P14" s="115">
        <f>P13*(1+IFERROR(_2025_2040_V_C_Growth,_2018_2045_V_C_Growth))</f>
        <v>0.79622621479781308</v>
      </c>
      <c r="Q14" s="116">
        <f t="shared" si="4"/>
        <v>1</v>
      </c>
      <c r="R14" s="31">
        <f>IF(M14=Year_Open_to_Traffic?,Calculations!$J$5,Calculations!R13+(Calculations!R13*Calculations!O14*Q14))</f>
        <v>17745947.673128787</v>
      </c>
      <c r="S14" s="46">
        <f t="shared" si="0"/>
        <v>1</v>
      </c>
      <c r="T14" s="31">
        <f t="shared" si="5"/>
        <v>17745.947673128787</v>
      </c>
      <c r="U14" s="32">
        <f>T14/(1+Real_Discount_Rate)^(Calculations!M14-'Assumed Values'!$C$5)</f>
        <v>9021.1399378947608</v>
      </c>
    </row>
    <row r="15" spans="1:21" ht="15.75" x14ac:dyDescent="0.25">
      <c r="A15" s="40" t="s">
        <v>115</v>
      </c>
      <c r="B15" s="119">
        <f>(B13/B12)^(1/(2025-2018))-1</f>
        <v>8.1865592807874643E-2</v>
      </c>
      <c r="L15" s="107"/>
      <c r="M15" s="11">
        <f>M14+1</f>
        <v>2029</v>
      </c>
      <c r="N15" s="113">
        <f t="shared" si="6"/>
        <v>101330.72825722593</v>
      </c>
      <c r="O15" s="114">
        <f t="shared" si="7"/>
        <v>1.443380295320118E-2</v>
      </c>
      <c r="P15" s="115">
        <f>P14*(1+IFERROR(_2025_2040_V_C_Growth,_2018_2045_V_C_Growth))</f>
        <v>0.80771811851922326</v>
      </c>
      <c r="Q15" s="116">
        <f t="shared" si="4"/>
        <v>1</v>
      </c>
      <c r="R15" s="31">
        <f>IF(M15=Year_Open_to_Traffic?,Calculations!$J$5,Calculations!R14+(Calculations!R14*Calculations!O15*Q15))</f>
        <v>18002089.185060546</v>
      </c>
      <c r="S15" s="46">
        <f t="shared" si="0"/>
        <v>1</v>
      </c>
      <c r="T15" s="31">
        <f t="shared" si="5"/>
        <v>18002.089185060548</v>
      </c>
      <c r="U15" s="32">
        <f>T15/(1+Real_Discount_Rate)^(Calculations!M15-'Assumed Values'!$C$5)</f>
        <v>8552.6628917491471</v>
      </c>
    </row>
    <row r="16" spans="1:21" ht="15.75" x14ac:dyDescent="0.25">
      <c r="A16" s="40" t="s">
        <v>116</v>
      </c>
      <c r="B16" s="119">
        <f>(B14/B13)^(1/(2045-2025))-1</f>
        <v>1.4432963280828881E-2</v>
      </c>
      <c r="D16" s="122" t="s">
        <v>117</v>
      </c>
      <c r="E16" s="58"/>
      <c r="L16" s="107"/>
      <c r="M16" s="108">
        <f t="shared" si="1"/>
        <v>2030</v>
      </c>
      <c r="N16" s="113">
        <f t="shared" si="6"/>
        <v>102793.3160219951</v>
      </c>
      <c r="O16" s="114">
        <f t="shared" si="7"/>
        <v>1.443380295320118E-2</v>
      </c>
      <c r="P16" s="115">
        <f t="shared" si="8"/>
        <v>0.81937588446507137</v>
      </c>
      <c r="Q16" s="116">
        <f t="shared" si="4"/>
        <v>1</v>
      </c>
      <c r="R16" s="31">
        <f>IF(M16=Year_Open_to_Traffic?,Calculations!$J$5,Calculations!R15+(Calculations!R15*Calculations!O16*Q16))</f>
        <v>18261927.793103665</v>
      </c>
      <c r="S16" s="46">
        <f t="shared" si="0"/>
        <v>1</v>
      </c>
      <c r="T16" s="31">
        <f t="shared" si="5"/>
        <v>18261.927793103667</v>
      </c>
      <c r="U16" s="32">
        <f>T16/(1+Real_Discount_Rate)^(Calculations!M16-'Assumed Values'!$C$5)</f>
        <v>8108.514338928796</v>
      </c>
    </row>
    <row r="17" spans="1:21" ht="15.75" x14ac:dyDescent="0.25">
      <c r="A17" s="40" t="s">
        <v>118</v>
      </c>
      <c r="B17" s="119">
        <f>(B14/B12)^(1/(2045-2018))-1</f>
        <v>3.1500962987069281E-2</v>
      </c>
      <c r="D17" s="40" t="s">
        <v>119</v>
      </c>
      <c r="E17" s="123">
        <f>($E$6*Death_Rate)/100000000</f>
        <v>1.1164525020525957</v>
      </c>
      <c r="L17" s="107"/>
      <c r="M17" s="11">
        <f t="shared" si="1"/>
        <v>2031</v>
      </c>
      <c r="N17" s="113">
        <f t="shared" si="6"/>
        <v>104277.01449036271</v>
      </c>
      <c r="O17" s="114">
        <f t="shared" si="7"/>
        <v>1.443380295320118E-2</v>
      </c>
      <c r="P17" s="115">
        <f t="shared" si="8"/>
        <v>0.83120190651875248</v>
      </c>
      <c r="Q17" s="116">
        <f t="shared" si="4"/>
        <v>1</v>
      </c>
      <c r="R17" s="31">
        <f>IF(M17=Year_Open_to_Traffic?,Calculations!$J$5,Calculations!R16+(Calculations!R16*Calculations!O17*Q17))</f>
        <v>18525516.860414911</v>
      </c>
      <c r="S17" s="46">
        <f t="shared" si="0"/>
        <v>1</v>
      </c>
      <c r="T17" s="31">
        <f t="shared" si="5"/>
        <v>18525.516860414911</v>
      </c>
      <c r="U17" s="32">
        <f>T17/(1+Real_Discount_Rate)^(Calculations!M17-'Assumed Values'!$C$5)</f>
        <v>7687.4308758318684</v>
      </c>
    </row>
    <row r="18" spans="1:21" ht="15.75" x14ac:dyDescent="0.25">
      <c r="D18" s="40" t="s">
        <v>120</v>
      </c>
      <c r="E18" s="123">
        <f>($E$6*Incap_Injry_Rate)/100000000</f>
        <v>3.9791512252643804</v>
      </c>
      <c r="L18" s="107"/>
      <c r="M18" s="108">
        <f t="shared" si="1"/>
        <v>2032</v>
      </c>
      <c r="N18" s="113">
        <f t="shared" si="6"/>
        <v>105782.1283700647</v>
      </c>
      <c r="O18" s="114">
        <f t="shared" si="7"/>
        <v>1.443380295320118E-2</v>
      </c>
      <c r="P18" s="115">
        <f t="shared" si="8"/>
        <v>0.84319861311449262</v>
      </c>
      <c r="Q18" s="116">
        <f t="shared" si="4"/>
        <v>1</v>
      </c>
      <c r="R18" s="31">
        <f>IF(M18=Year_Open_to_Traffic?,Calculations!$J$5,Calculations!R17+(Calculations!R17*Calculations!O18*Q18))</f>
        <v>18792910.520384345</v>
      </c>
      <c r="S18" s="46">
        <f t="shared" si="0"/>
        <v>1</v>
      </c>
      <c r="T18" s="31">
        <f t="shared" si="5"/>
        <v>18792.910520384346</v>
      </c>
      <c r="U18" s="32">
        <f>T18/(1+Real_Discount_Rate)^(Calculations!M18-'Assumed Values'!$C$5)</f>
        <v>7288.2147087009171</v>
      </c>
    </row>
    <row r="19" spans="1:21" ht="15.75" x14ac:dyDescent="0.25">
      <c r="D19" s="40" t="s">
        <v>121</v>
      </c>
      <c r="E19" s="123">
        <f>($E$6*Nonincap_Injry_Rate)/100000000</f>
        <v>19.523605292304367</v>
      </c>
      <c r="L19" s="107"/>
      <c r="M19" s="11">
        <f t="shared" si="1"/>
        <v>2033</v>
      </c>
      <c r="N19" s="113">
        <f t="shared" si="6"/>
        <v>107308.96676692845</v>
      </c>
      <c r="O19" s="114">
        <f t="shared" si="7"/>
        <v>1.443380295320118E-2</v>
      </c>
      <c r="P19" s="115">
        <f t="shared" si="8"/>
        <v>0.85536846773601993</v>
      </c>
      <c r="Q19" s="116">
        <f t="shared" si="4"/>
        <v>1</v>
      </c>
      <c r="R19" s="31">
        <f>IF(M19=Year_Open_to_Traffic?,Calculations!$J$5,Calculations!R18+(Calculations!R18*Calculations!O19*Q19))</f>
        <v>19064163.687752713</v>
      </c>
      <c r="S19" s="46">
        <f t="shared" si="0"/>
        <v>1</v>
      </c>
      <c r="T19" s="31">
        <f t="shared" si="5"/>
        <v>19064.163687752713</v>
      </c>
      <c r="U19" s="32">
        <f>T19/(1+Real_Discount_Rate)^(Calculations!M19-'Assumed Values'!$C$5)</f>
        <v>6909.7302464363793</v>
      </c>
    </row>
    <row r="20" spans="1:21" ht="15.75" x14ac:dyDescent="0.25">
      <c r="D20" s="40" t="s">
        <v>122</v>
      </c>
      <c r="E20" s="123">
        <f>($E$6*Poss_Injry_Rate/100000000)</f>
        <v>30.774011274526671</v>
      </c>
      <c r="L20" s="107"/>
      <c r="M20" s="108">
        <f t="shared" si="1"/>
        <v>2034</v>
      </c>
      <c r="N20" s="113">
        <f t="shared" si="6"/>
        <v>108857.84324835391</v>
      </c>
      <c r="O20" s="114">
        <f t="shared" si="7"/>
        <v>1.443380295320118E-2</v>
      </c>
      <c r="P20" s="115">
        <f t="shared" si="8"/>
        <v>0.86771396942243273</v>
      </c>
      <c r="Q20" s="116">
        <f t="shared" si="4"/>
        <v>1</v>
      </c>
      <c r="R20" s="31">
        <f>IF(M20=Year_Open_to_Traffic?,Calculations!$J$5,Calculations!R19+(Calculations!R19*Calculations!O20*Q20))</f>
        <v>19339332.069889307</v>
      </c>
      <c r="S20" s="46">
        <f t="shared" si="0"/>
        <v>1</v>
      </c>
      <c r="T20" s="31">
        <f t="shared" si="5"/>
        <v>19339.332069889308</v>
      </c>
      <c r="U20" s="32">
        <f>T20/(1+Real_Discount_Rate)^(Calculations!M20-'Assumed Values'!$C$5)</f>
        <v>6550.9008703488016</v>
      </c>
    </row>
    <row r="21" spans="1:21" ht="15.75" x14ac:dyDescent="0.25">
      <c r="D21" s="40" t="s">
        <v>123</v>
      </c>
      <c r="E21" s="123">
        <f>($E$6*Non_Injry_Rate)/100000000</f>
        <v>290.76430931662088</v>
      </c>
      <c r="L21" s="107"/>
      <c r="M21" s="11">
        <f>M20+1</f>
        <v>2035</v>
      </c>
      <c r="N21" s="113">
        <f t="shared" si="6"/>
        <v>110429.07590771111</v>
      </c>
      <c r="O21" s="114">
        <f t="shared" si="7"/>
        <v>1.443380295320118E-2</v>
      </c>
      <c r="P21" s="115">
        <f>P20*(1+IFERROR(_2025_2040_V_C_Growth,_2018_2045_V_C_Growth))</f>
        <v>0.88023765328136894</v>
      </c>
      <c r="Q21" s="116">
        <f t="shared" si="4"/>
        <v>1</v>
      </c>
      <c r="R21" s="31">
        <f>IF(M21=Year_Open_to_Traffic?,Calculations!$J$5,Calculations!R20+(Calculations!R20*Calculations!O21*Q21))</f>
        <v>19618472.178232614</v>
      </c>
      <c r="S21" s="46">
        <f t="shared" si="0"/>
        <v>1</v>
      </c>
      <c r="T21" s="31">
        <f t="shared" si="5"/>
        <v>19618.472178232612</v>
      </c>
      <c r="U21" s="32">
        <f>T21/(1+Real_Discount_Rate)^(Calculations!M21-'Assumed Values'!$C$5)</f>
        <v>6210.7058716610927</v>
      </c>
    </row>
    <row r="22" spans="1:21" ht="15.75" x14ac:dyDescent="0.25">
      <c r="D22" s="40" t="s">
        <v>124</v>
      </c>
      <c r="E22" s="123">
        <f>($E$6*Unkn_Injry_Rate)/100000000</f>
        <v>9.6186677099915947</v>
      </c>
      <c r="L22" s="107"/>
      <c r="M22" s="108">
        <f>M21+1</f>
        <v>2036</v>
      </c>
      <c r="N22" s="113">
        <f t="shared" si="6"/>
        <v>112022.98742966712</v>
      </c>
      <c r="O22" s="114">
        <f t="shared" si="7"/>
        <v>1.443380295320118E-2</v>
      </c>
      <c r="P22" s="115">
        <f t="shared" si="8"/>
        <v>0.89294209100958188</v>
      </c>
      <c r="Q22" s="116">
        <f t="shared" si="4"/>
        <v>1</v>
      </c>
      <c r="R22" s="31">
        <f>IF(M22=Year_Open_to_Traffic?,Calculations!$J$5,Calculations!R21+(Calculations!R21*Calculations!O22*Q22))</f>
        <v>19901641.339896083</v>
      </c>
      <c r="S22" s="46">
        <f t="shared" si="0"/>
        <v>1</v>
      </c>
      <c r="T22" s="31">
        <f t="shared" si="5"/>
        <v>19901.641339896083</v>
      </c>
      <c r="U22" s="32">
        <f>T22/(1+Real_Discount_Rate)^(Calculations!M22-'Assumed Values'!$C$5)</f>
        <v>5888.1775480494753</v>
      </c>
    </row>
    <row r="23" spans="1:21" ht="15.75" x14ac:dyDescent="0.25">
      <c r="L23" s="107"/>
      <c r="M23" s="11">
        <f t="shared" si="1"/>
        <v>2037</v>
      </c>
      <c r="N23" s="113">
        <f t="shared" si="6"/>
        <v>113639.90515645586</v>
      </c>
      <c r="O23" s="114">
        <f t="shared" si="7"/>
        <v>1.443380295320118E-2</v>
      </c>
      <c r="P23" s="115">
        <f t="shared" si="8"/>
        <v>0.90582989142102976</v>
      </c>
      <c r="Q23" s="116">
        <f t="shared" si="4"/>
        <v>1</v>
      </c>
      <c r="R23" s="31">
        <f>IF(M23=Year_Open_to_Traffic?,Calculations!$J$5,Calculations!R22+(Calculations!R22*Calculations!O23*Q23))</f>
        <v>20188897.709441427</v>
      </c>
      <c r="S23" s="46">
        <f t="shared" si="0"/>
        <v>1</v>
      </c>
      <c r="T23" s="31">
        <f t="shared" si="5"/>
        <v>20188.897709441426</v>
      </c>
      <c r="U23" s="32">
        <f>T23/(1+Real_Discount_Rate)^(Calculations!M23-'Assumed Values'!$C$5)</f>
        <v>5582.398450964004</v>
      </c>
    </row>
    <row r="24" spans="1:21" ht="15.75" x14ac:dyDescent="0.25">
      <c r="L24" s="107"/>
      <c r="M24" s="108">
        <f t="shared" si="1"/>
        <v>2038</v>
      </c>
      <c r="N24" s="113">
        <f t="shared" si="6"/>
        <v>115280.16115510462</v>
      </c>
      <c r="O24" s="114">
        <f t="shared" si="7"/>
        <v>1.443380295320118E-2</v>
      </c>
      <c r="P24" s="115">
        <f t="shared" si="8"/>
        <v>0.91890370098258667</v>
      </c>
      <c r="Q24" s="116">
        <f t="shared" si="4"/>
        <v>1</v>
      </c>
      <c r="R24" s="31">
        <f>IF(M24=Year_Open_to_Traffic?,Calculations!$J$5,Calculations!R23+(Calculations!R23*Calculations!O24*Q24))</f>
        <v>20480300.280821837</v>
      </c>
      <c r="S24" s="46">
        <f t="shared" si="0"/>
        <v>1</v>
      </c>
      <c r="T24" s="31">
        <f t="shared" si="5"/>
        <v>20480.300280821837</v>
      </c>
      <c r="U24" s="32">
        <f>T24/(1+Real_Discount_Rate)^(Calculations!M24-'Assumed Values'!$C$5)</f>
        <v>5292.4987758985744</v>
      </c>
    </row>
    <row r="25" spans="1:21" ht="15.75" x14ac:dyDescent="0.25">
      <c r="A25" s="136" t="s">
        <v>125</v>
      </c>
      <c r="B25" s="136"/>
      <c r="D25" s="102" t="s">
        <v>119</v>
      </c>
      <c r="E25" s="102" t="s">
        <v>120</v>
      </c>
      <c r="F25" s="102" t="s">
        <v>121</v>
      </c>
      <c r="G25" s="102" t="s">
        <v>122</v>
      </c>
      <c r="H25" s="102" t="s">
        <v>123</v>
      </c>
      <c r="I25" s="102" t="s">
        <v>124</v>
      </c>
      <c r="J25" s="137" t="s">
        <v>126</v>
      </c>
      <c r="L25" s="107"/>
      <c r="M25" s="11">
        <f t="shared" si="1"/>
        <v>2039</v>
      </c>
      <c r="N25" s="113">
        <f t="shared" si="6"/>
        <v>116944.09228563069</v>
      </c>
      <c r="O25" s="114">
        <f t="shared" si="7"/>
        <v>1.443380295320118E-2</v>
      </c>
      <c r="P25" s="115">
        <f t="shared" si="8"/>
        <v>0.93216620435748609</v>
      </c>
      <c r="Q25" s="116">
        <f t="shared" si="4"/>
        <v>1</v>
      </c>
      <c r="R25" s="31">
        <f>IF(M25=Year_Open_to_Traffic?,Calculations!$J$5,Calculations!R24+(Calculations!R24*Calculations!O25*Q25))</f>
        <v>20775908.89949761</v>
      </c>
      <c r="S25" s="46">
        <f t="shared" si="0"/>
        <v>1</v>
      </c>
      <c r="T25" s="31">
        <f t="shared" si="5"/>
        <v>20775.908899497608</v>
      </c>
      <c r="U25" s="32">
        <f>T25/(1+Real_Discount_Rate)^(Calculations!M25-'Assumed Values'!$C$5)</f>
        <v>5017.653888186871</v>
      </c>
    </row>
    <row r="26" spans="1:21" ht="15.75" x14ac:dyDescent="0.25">
      <c r="A26" s="136"/>
      <c r="B26" s="136"/>
      <c r="D26" s="124">
        <f>Calculations!E17</f>
        <v>1.1164525020525957</v>
      </c>
      <c r="E26" s="124">
        <f>Calculations!E18</f>
        <v>3.9791512252643804</v>
      </c>
      <c r="F26" s="124">
        <f>Calculations!E19</f>
        <v>19.523605292304367</v>
      </c>
      <c r="G26" s="124">
        <f>Calculations!E20</f>
        <v>30.774011274526671</v>
      </c>
      <c r="H26" s="124">
        <f>Calculations!E21</f>
        <v>290.76430931662088</v>
      </c>
      <c r="I26" s="124">
        <f>Calculations!E22</f>
        <v>9.6186677099915947</v>
      </c>
      <c r="J26" s="137"/>
      <c r="L26" s="107"/>
      <c r="M26" s="108">
        <f t="shared" si="1"/>
        <v>2040</v>
      </c>
      <c r="N26" s="113">
        <f t="shared" si="6"/>
        <v>118632.04027022245</v>
      </c>
      <c r="O26" s="114">
        <f t="shared" si="7"/>
        <v>1.443380295320118E-2</v>
      </c>
      <c r="P26" s="115">
        <f t="shared" si="8"/>
        <v>0.9456201249566073</v>
      </c>
      <c r="Q26" s="116">
        <f t="shared" si="4"/>
        <v>1</v>
      </c>
      <c r="R26" s="31">
        <f>IF(M26=Year_Open_to_Traffic?,Calculations!$J$5,Calculations!R25+(Calculations!R25*Calculations!O26*Q26))</f>
        <v>21075784.274726618</v>
      </c>
      <c r="S26" s="46">
        <f t="shared" si="0"/>
        <v>1</v>
      </c>
      <c r="T26" s="31">
        <f t="shared" si="5"/>
        <v>21075.784274726619</v>
      </c>
      <c r="U26" s="32">
        <f>T26/(1+Real_Discount_Rate)^(Calculations!M26-'Assumed Values'!$C$5)</f>
        <v>4757.0819772862851</v>
      </c>
    </row>
    <row r="27" spans="1:21" ht="15.75" x14ac:dyDescent="0.25">
      <c r="A27" s="39" t="s">
        <v>127</v>
      </c>
      <c r="B27" s="40" t="s">
        <v>128</v>
      </c>
      <c r="D27" s="125">
        <f>D$26*'Value of Statistical Life'!D17*Appropriate_Crash_Reduction_Factor</f>
        <v>0</v>
      </c>
      <c r="E27" s="125">
        <f>E$26*'Value of Statistical Life'!E17*Appropriate_Crash_Reduction_Factor</f>
        <v>0.10941074208986941</v>
      </c>
      <c r="F27" s="125">
        <f>F$26*'Value of Statistical Life'!F17*Appropriate_Crash_Reduction_Factor</f>
        <v>1.3037082669989166</v>
      </c>
      <c r="G27" s="125">
        <f>G$26*'Value of Statistical Life'!G17*Appropriate_Crash_Reduction_Factor</f>
        <v>5.7700040179286525</v>
      </c>
      <c r="H27" s="125">
        <f>H$26*'Value of Statistical Life'!H17*Appropriate_Crash_Reduction_Factor</f>
        <v>215.24467678643362</v>
      </c>
      <c r="I27" s="125">
        <f>I$26*'Value of Statistical Life'!I17*Appropriate_Crash_Reduction_Factor</f>
        <v>3.3608394472127432</v>
      </c>
      <c r="J27" s="125">
        <f t="shared" ref="J27:J33" si="9">SUM(D27:I27)</f>
        <v>225.78863926066381</v>
      </c>
      <c r="K27" s="70"/>
      <c r="L27" s="107"/>
      <c r="M27" s="11">
        <f t="shared" si="1"/>
        <v>2041</v>
      </c>
      <c r="N27" s="113">
        <f t="shared" si="6"/>
        <v>120344.35176341906</v>
      </c>
      <c r="O27" s="114">
        <f t="shared" si="7"/>
        <v>1.443380295320118E-2</v>
      </c>
      <c r="P27" s="115">
        <f t="shared" si="8"/>
        <v>0.95926822549771884</v>
      </c>
      <c r="Q27" s="116">
        <f t="shared" si="4"/>
        <v>1</v>
      </c>
      <c r="R27" s="31">
        <f>IF(M27=Year_Open_to_Traffic?,Calculations!$J$5,Calculations!R26+(Calculations!R26*Calculations!O27*Q27))</f>
        <v>21379987.992032196</v>
      </c>
      <c r="S27" s="46">
        <f t="shared" si="0"/>
        <v>1</v>
      </c>
      <c r="T27" s="31">
        <f t="shared" si="5"/>
        <v>21379.987992032195</v>
      </c>
      <c r="U27" s="32">
        <f>T27/(1+Real_Discount_Rate)^(Calculations!M27-'Assumed Values'!$C$5)</f>
        <v>4510.0418328772512</v>
      </c>
    </row>
    <row r="28" spans="1:21" ht="15.75" x14ac:dyDescent="0.25">
      <c r="A28" s="39" t="s">
        <v>129</v>
      </c>
      <c r="B28" s="40" t="s">
        <v>130</v>
      </c>
      <c r="D28" s="125">
        <f>D$26*'Value of Statistical Life'!D18*Appropriate_Crash_Reduction_Factor</f>
        <v>0</v>
      </c>
      <c r="E28" s="125">
        <f>E$26*'Value of Statistical Life'!E18*Appropriate_Crash_Reduction_Factor</f>
        <v>1.7651196503174771</v>
      </c>
      <c r="F28" s="125">
        <f>F$26*'Value of Statistical Life'!F18*Appropriate_Crash_Reduction_Factor</f>
        <v>12.002019211812355</v>
      </c>
      <c r="G28" s="125">
        <f>G$26*'Value of Statistical Life'!G18*Appropriate_Crash_Reduction_Factor</f>
        <v>16.973959850668127</v>
      </c>
      <c r="H28" s="125">
        <f>H$26*'Value of Statistical Life'!H18*Appropriate_Crash_Reduction_Factor</f>
        <v>16.880612741685741</v>
      </c>
      <c r="I28" s="125">
        <f>I$26*'Value of Statistical Life'!I18*Appropriate_Crash_Reduction_Factor</f>
        <v>3.2117885723787136</v>
      </c>
      <c r="J28" s="125">
        <f t="shared" si="9"/>
        <v>50.833500026862417</v>
      </c>
      <c r="K28" s="70"/>
      <c r="L28" s="107"/>
      <c r="M28" s="108">
        <f t="shared" si="1"/>
        <v>2042</v>
      </c>
      <c r="N28" s="113">
        <f t="shared" si="6"/>
        <v>122081.37842330299</v>
      </c>
      <c r="O28" s="114">
        <f t="shared" si="7"/>
        <v>1.443380295320118E-2</v>
      </c>
      <c r="P28" s="115">
        <f t="shared" si="8"/>
        <v>0.97311330857279332</v>
      </c>
      <c r="Q28" s="116">
        <f t="shared" si="4"/>
        <v>1</v>
      </c>
      <c r="R28" s="31">
        <f>IF(M28=Year_Open_to_Traffic?,Calculations!$J$5,Calculations!R27+(Calculations!R27*Calculations!O28*Q28))</f>
        <v>21688582.525850996</v>
      </c>
      <c r="S28" s="46">
        <f t="shared" si="0"/>
        <v>1</v>
      </c>
      <c r="T28" s="31">
        <f t="shared" si="5"/>
        <v>21688.582525850998</v>
      </c>
      <c r="U28" s="32">
        <f>T28/(1+Real_Discount_Rate)^(Calculations!M28-'Assumed Values'!$C$5)</f>
        <v>4275.8307364520524</v>
      </c>
    </row>
    <row r="29" spans="1:21" ht="15.75" x14ac:dyDescent="0.25">
      <c r="A29" s="39" t="s">
        <v>131</v>
      </c>
      <c r="B29" s="40" t="s">
        <v>132</v>
      </c>
      <c r="D29" s="125">
        <f>D$26*'Value of Statistical Life'!D19*Appropriate_Crash_Reduction_Factor</f>
        <v>0</v>
      </c>
      <c r="E29" s="125">
        <f>E$26*'Value of Statistical Life'!E19*Appropriate_Crash_Reduction_Factor</f>
        <v>0.66556875054262132</v>
      </c>
      <c r="F29" s="125">
        <f>F$26*'Value of Statistical Life'!F19*Appropriate_Crash_Reduction_Factor</f>
        <v>1.7021460038042637</v>
      </c>
      <c r="G29" s="125">
        <f>G$26*'Value of Statistical Life'!G19*Appropriate_Crash_Reduction_Factor</f>
        <v>1.5734136484439996</v>
      </c>
      <c r="H29" s="125">
        <f>H$26*'Value of Statistical Life'!H19*Appropriate_Crash_Reduction_Factor</f>
        <v>0.46057066595752749</v>
      </c>
      <c r="I29" s="125">
        <f>I$26*'Value of Statistical Life'!I19*Appropriate_Crash_Reduction_Factor</f>
        <v>0.68269455938436341</v>
      </c>
      <c r="J29" s="125">
        <f t="shared" si="9"/>
        <v>5.0843936281327755</v>
      </c>
      <c r="K29" s="70"/>
      <c r="L29" s="107"/>
      <c r="M29" s="11">
        <f t="shared" si="1"/>
        <v>2043</v>
      </c>
      <c r="N29" s="113">
        <f t="shared" si="6"/>
        <v>123843.47698372013</v>
      </c>
      <c r="O29" s="114">
        <f t="shared" si="7"/>
        <v>1.443380295320118E-2</v>
      </c>
      <c r="P29" s="115">
        <f t="shared" si="8"/>
        <v>0.98715821722351038</v>
      </c>
      <c r="Q29" s="116">
        <f t="shared" si="4"/>
        <v>1</v>
      </c>
      <c r="R29" s="31">
        <f>IF(M29=Year_Open_to_Traffic?,Calculations!$J$5,Calculations!R28+(Calculations!R28*Calculations!O29*Q29))</f>
        <v>22001631.252363373</v>
      </c>
      <c r="S29" s="46">
        <f t="shared" si="0"/>
        <v>1</v>
      </c>
      <c r="T29" s="31">
        <f t="shared" si="5"/>
        <v>22001.631252363371</v>
      </c>
      <c r="U29" s="32">
        <f>T29/(1+Real_Discount_Rate)^(Calculations!M29-'Assumed Values'!$C$5)</f>
        <v>4053.782462395553</v>
      </c>
    </row>
    <row r="30" spans="1:21" ht="15.75" x14ac:dyDescent="0.25">
      <c r="A30" s="39" t="s">
        <v>133</v>
      </c>
      <c r="B30" s="40" t="s">
        <v>134</v>
      </c>
      <c r="D30" s="125">
        <f>D$26*'Value of Statistical Life'!D20*Appropriate_Crash_Reduction_Factor</f>
        <v>0</v>
      </c>
      <c r="E30" s="125">
        <f>E$26*'Value of Statistical Life'!E20*Appropriate_Crash_Reduction_Factor</f>
        <v>0.45957604991313494</v>
      </c>
      <c r="F30" s="125">
        <f>F$26*'Value of Statistical Life'!F20*Appropriate_Crash_Reduction_Factor</f>
        <v>0.49839859590194591</v>
      </c>
      <c r="G30" s="125">
        <f>G$26*'Value of Statistical Life'!G20*Appropriate_Crash_Reduction_Factor</f>
        <v>0.26367172860014459</v>
      </c>
      <c r="H30" s="125">
        <f>H$26*'Value of Statistical Life'!H20*Appropriate_Crash_Reduction_Factor</f>
        <v>1.8608915796263739E-2</v>
      </c>
      <c r="I30" s="125">
        <f>I$26*'Value of Statistical Life'!I20*Appropriate_Crash_Reduction_Factor</f>
        <v>0.37066497887223609</v>
      </c>
      <c r="J30" s="125">
        <f t="shared" si="9"/>
        <v>1.6109202690837252</v>
      </c>
      <c r="K30" s="70"/>
      <c r="L30" s="107"/>
      <c r="M30" s="11">
        <f t="shared" si="1"/>
        <v>2044</v>
      </c>
      <c r="N30" s="113">
        <f t="shared" si="6"/>
        <v>125631.00932754246</v>
      </c>
      <c r="O30" s="114">
        <f t="shared" si="7"/>
        <v>1.443380295320118E-2</v>
      </c>
      <c r="P30" s="115">
        <f t="shared" si="8"/>
        <v>1.0014058355250659</v>
      </c>
      <c r="Q30" s="116">
        <f t="shared" si="4"/>
        <v>0</v>
      </c>
      <c r="R30" s="31">
        <f>IF(M30=Year_Open_to_Traffic?,Calculations!$J$5,Calculations!R29+(Calculations!R29*Calculations!O30*Q30))</f>
        <v>22001631.252363373</v>
      </c>
      <c r="S30" s="46">
        <f t="shared" si="0"/>
        <v>1</v>
      </c>
      <c r="T30" s="31">
        <f t="shared" si="5"/>
        <v>22001.631252363371</v>
      </c>
      <c r="U30" s="32">
        <f>T30/(1+Real_Discount_Rate)^(Calculations!M30-'Assumed Values'!$C$5)</f>
        <v>3788.5817405565922</v>
      </c>
    </row>
    <row r="31" spans="1:21" ht="15.75" x14ac:dyDescent="0.25">
      <c r="A31" s="39" t="s">
        <v>135</v>
      </c>
      <c r="B31" s="40" t="s">
        <v>136</v>
      </c>
      <c r="D31" s="125">
        <f>D$26*'Value of Statistical Life'!D21*Appropriate_Crash_Reduction_Factor</f>
        <v>0</v>
      </c>
      <c r="E31" s="125">
        <f>E$26*'Value of Statistical Life'!E21*Appropriate_Crash_Reduction_Factor</f>
        <v>0.12688717427123056</v>
      </c>
      <c r="F31" s="125">
        <f>F$26*'Value of Statistical Life'!F21*Appropriate_Crash_Reduction_Factor</f>
        <v>9.6837082249829662E-2</v>
      </c>
      <c r="G31" s="125">
        <f>G$26*'Value of Statistical Life'!G21*Appropriate_Crash_Reduction_Factor</f>
        <v>3.4959276807862302E-2</v>
      </c>
      <c r="H31" s="125">
        <f>H$26*'Value of Statistical Life'!H21*Appropriate_Crash_Reduction_Factor</f>
        <v>0</v>
      </c>
      <c r="I31" s="125">
        <f>I$26*'Value of Statistical Life'!I21*Appropriate_Crash_Reduction_Factor</f>
        <v>4.7477743816518515E-2</v>
      </c>
      <c r="J31" s="125">
        <f t="shared" si="9"/>
        <v>0.30616127714544106</v>
      </c>
      <c r="K31" s="70"/>
      <c r="L31" s="107"/>
      <c r="M31" s="11">
        <f t="shared" si="1"/>
        <v>2045</v>
      </c>
      <c r="N31" s="113">
        <f t="shared" si="6"/>
        <v>127444.34256098799</v>
      </c>
      <c r="O31" s="114">
        <f t="shared" si="7"/>
        <v>1.443380295320118E-2</v>
      </c>
      <c r="P31" s="115">
        <f t="shared" si="8"/>
        <v>1.0158590891784069</v>
      </c>
      <c r="Q31" s="116">
        <f t="shared" si="4"/>
        <v>0</v>
      </c>
      <c r="R31" s="31">
        <f>IF(M31=Year_Open_to_Traffic?,Calculations!$J$5,Calculations!R30+(Calculations!R30*Calculations!O31*Q31))</f>
        <v>22001631.252363373</v>
      </c>
      <c r="S31" s="46">
        <f t="shared" si="0"/>
        <v>1</v>
      </c>
      <c r="T31" s="31">
        <f t="shared" si="5"/>
        <v>22001.631252363371</v>
      </c>
      <c r="U31" s="32">
        <f>T31/(1+Real_Discount_Rate)^(Calculations!M31-'Assumed Values'!$C$5)</f>
        <v>3540.73059865102</v>
      </c>
    </row>
    <row r="32" spans="1:21" ht="15.75" x14ac:dyDescent="0.25">
      <c r="A32" s="39" t="s">
        <v>137</v>
      </c>
      <c r="B32" s="40" t="s">
        <v>138</v>
      </c>
      <c r="D32" s="125">
        <f>D$26*'Value of Statistical Life'!D22*Appropriate_Crash_Reduction_Factor</f>
        <v>0</v>
      </c>
      <c r="E32" s="125">
        <f>E$26*'Value of Statistical Life'!E22*Appropriate_Crash_Reduction_Factor</f>
        <v>5.6758613077171116E-2</v>
      </c>
      <c r="F32" s="125">
        <f>F$26*'Value of Statistical Life'!F22*Appropriate_Crash_Reduction_Factor</f>
        <v>1.5775073076181933E-2</v>
      </c>
      <c r="G32" s="125">
        <f>G$26*'Value of Statistical Life'!G22*Appropriate_Crash_Reduction_Factor</f>
        <v>3.2004971725507741E-3</v>
      </c>
      <c r="H32" s="125">
        <f>H$26*'Value of Statistical Life'!H22*Appropriate_Crash_Reduction_Factor</f>
        <v>6.9783434235989013E-3</v>
      </c>
      <c r="I32" s="125">
        <f>I$26*'Value of Statistical Life'!I22*Appropriate_Crash_Reduction_Factor</f>
        <v>2.1468866328701239E-2</v>
      </c>
      <c r="J32" s="125">
        <f t="shared" si="9"/>
        <v>0.10418139307820397</v>
      </c>
      <c r="K32" s="70"/>
      <c r="L32" s="107"/>
      <c r="M32" s="11">
        <f t="shared" si="1"/>
        <v>2046</v>
      </c>
      <c r="N32" s="113">
        <f t="shared" si="6"/>
        <v>129283.84908901356</v>
      </c>
      <c r="O32" s="114">
        <f t="shared" si="7"/>
        <v>1.443380295320118E-2</v>
      </c>
      <c r="P32" s="115">
        <f t="shared" si="8"/>
        <v>1.0305209461110152</v>
      </c>
      <c r="Q32" s="116">
        <f t="shared" si="4"/>
        <v>0</v>
      </c>
      <c r="R32" s="31">
        <f>IF(M32=Year_Open_to_Traffic?,Calculations!$J$5,Calculations!R31+(Calculations!R31*Calculations!O32*Q32))</f>
        <v>22001631.252363373</v>
      </c>
      <c r="S32" s="46">
        <f t="shared" si="0"/>
        <v>1</v>
      </c>
      <c r="T32" s="31">
        <f t="shared" si="5"/>
        <v>22001.631252363371</v>
      </c>
      <c r="U32" s="32">
        <f>T32/(1+Real_Discount_Rate)^(Calculations!M32-'Assumed Values'!$C$5)</f>
        <v>3309.0940174308603</v>
      </c>
    </row>
    <row r="33" spans="1:21" ht="15.75" x14ac:dyDescent="0.25">
      <c r="A33" s="39" t="s">
        <v>139</v>
      </c>
      <c r="B33" s="40" t="s">
        <v>140</v>
      </c>
      <c r="D33" s="125">
        <f>D$26*'Value of Statistical Life'!D23*Appropriate_Crash_Reduction_Factor</f>
        <v>0.8931620016420766</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0.8931620016420766</v>
      </c>
      <c r="K33" s="70"/>
      <c r="L33" s="107"/>
      <c r="M33" s="11">
        <f t="shared" si="1"/>
        <v>2047</v>
      </c>
      <c r="N33" s="113">
        <f t="shared" si="6"/>
        <v>131149.90669179577</v>
      </c>
      <c r="O33" s="114">
        <f t="shared" si="7"/>
        <v>1.443380295320118E-2</v>
      </c>
      <c r="P33" s="115">
        <f t="shared" si="8"/>
        <v>1.0453944170863605</v>
      </c>
      <c r="Q33" s="116">
        <f t="shared" si="4"/>
        <v>0</v>
      </c>
      <c r="R33" s="31">
        <f>IF(M33=Year_Open_to_Traffic?,Calculations!$J$5,Calculations!R32+(Calculations!R32*Calculations!O33*Q33))</f>
        <v>22001631.252363373</v>
      </c>
      <c r="S33" s="46">
        <f t="shared" si="0"/>
        <v>1</v>
      </c>
      <c r="T33" s="31">
        <f t="shared" si="5"/>
        <v>22001.631252363371</v>
      </c>
      <c r="U33" s="32">
        <f>T33/(1+Real_Discount_Rate)^(Calculations!M33-'Assumed Values'!$C$5)</f>
        <v>3092.6112312437945</v>
      </c>
    </row>
    <row r="34" spans="1:21" ht="15.75" x14ac:dyDescent="0.25">
      <c r="J34" s="126"/>
      <c r="L34" s="107"/>
      <c r="M34" s="11">
        <f t="shared" si="1"/>
        <v>2048</v>
      </c>
      <c r="N34" s="113">
        <f t="shared" si="6"/>
        <v>133042.89860231586</v>
      </c>
      <c r="O34" s="114">
        <f t="shared" si="7"/>
        <v>1.443380295320118E-2</v>
      </c>
      <c r="P34" s="115">
        <f t="shared" si="8"/>
        <v>1.0604825563221514</v>
      </c>
      <c r="Q34" s="116">
        <f t="shared" si="4"/>
        <v>0</v>
      </c>
      <c r="R34" s="31">
        <f>IF(M34=Year_Open_to_Traffic?,Calculations!$J$5,Calculations!R33+(Calculations!R33*Calculations!O34*Q34))</f>
        <v>22001631.252363373</v>
      </c>
      <c r="S34" s="46">
        <f t="shared" si="0"/>
        <v>1</v>
      </c>
      <c r="T34" s="31">
        <f t="shared" si="5"/>
        <v>22001.631252363371</v>
      </c>
      <c r="U34" s="32">
        <f>T34/(1+Real_Discount_Rate)^(Calculations!M34-'Assumed Values'!$C$5)</f>
        <v>2890.2908703213034</v>
      </c>
    </row>
    <row r="35" spans="1:21" ht="15.75" x14ac:dyDescent="0.25">
      <c r="G35" s="42"/>
      <c r="H35" s="42"/>
      <c r="L35" s="107"/>
      <c r="M35" s="11">
        <f t="shared" si="1"/>
        <v>2049</v>
      </c>
      <c r="N35" s="113">
        <f t="shared" si="6"/>
        <v>134963.21358506443</v>
      </c>
      <c r="O35" s="114">
        <f t="shared" si="7"/>
        <v>1.443380295320118E-2</v>
      </c>
      <c r="P35" s="115">
        <f t="shared" si="8"/>
        <v>1.0757884621175084</v>
      </c>
      <c r="Q35" s="116">
        <f t="shared" si="4"/>
        <v>0</v>
      </c>
      <c r="R35" s="31">
        <f>IF(M35=Year_Open_to_Traffic?,Calculations!$J$5,Calculations!R34+(Calculations!R34*Calculations!O35*Q35))</f>
        <v>22001631.252363373</v>
      </c>
      <c r="S35" s="46">
        <f t="shared" si="0"/>
        <v>1</v>
      </c>
      <c r="T35" s="31">
        <f t="shared" si="5"/>
        <v>22001.631252363371</v>
      </c>
      <c r="U35" s="32">
        <f>T35/(1+Real_Discount_Rate)^(Calculations!M35-'Assumed Values'!$C$5)</f>
        <v>2701.2064208610309</v>
      </c>
    </row>
    <row r="36" spans="1:21" ht="15.75" x14ac:dyDescent="0.25">
      <c r="G36" s="42"/>
      <c r="H36" s="42"/>
      <c r="L36" s="107"/>
      <c r="M36" s="11">
        <f t="shared" si="1"/>
        <v>2050</v>
      </c>
      <c r="N36" s="113">
        <f t="shared" si="6"/>
        <v>136911.24601588206</v>
      </c>
      <c r="O36" s="114">
        <f t="shared" si="7"/>
        <v>1.443380295320118E-2</v>
      </c>
      <c r="P36" s="115">
        <f t="shared" si="8"/>
        <v>1.0913152774891899</v>
      </c>
      <c r="Q36" s="116">
        <f t="shared" si="4"/>
        <v>0</v>
      </c>
      <c r="R36" s="31">
        <f>IF(M36=Year_Open_to_Traffic?,Calculations!$J$5,Calculations!R35+(Calculations!R35*Calculations!O36*Q36))</f>
        <v>22001631.252363373</v>
      </c>
      <c r="S36" s="46">
        <f t="shared" si="0"/>
        <v>1</v>
      </c>
      <c r="T36" s="31">
        <f t="shared" si="5"/>
        <v>22001.631252363371</v>
      </c>
      <c r="U36" s="32">
        <f>T36/(1+Real_Discount_Rate)^(Calculations!M36-'Assumed Values'!$C$5)</f>
        <v>2524.491982113113</v>
      </c>
    </row>
    <row r="37" spans="1:21" x14ac:dyDescent="0.25">
      <c r="M37" s="40"/>
      <c r="N37" s="40"/>
      <c r="O37" s="119"/>
      <c r="P37" s="121"/>
      <c r="Q37" s="40"/>
      <c r="R37" s="40"/>
      <c r="S37" s="40"/>
      <c r="T37" s="40"/>
      <c r="U37" s="32">
        <f>SUM(U4:U36)</f>
        <v>174413.88839146669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40" t="s">
        <v>147</v>
      </c>
      <c r="C12" s="141"/>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A7"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50</v>
      </c>
      <c r="D3" t="s">
        <v>161</v>
      </c>
      <c r="G3" s="40" t="s">
        <v>162</v>
      </c>
      <c r="H3" s="128" t="s">
        <v>163</v>
      </c>
      <c r="Q3" s="87"/>
      <c r="R3" s="86"/>
      <c r="S3" s="86"/>
      <c r="T3" s="86"/>
      <c r="U3" s="86"/>
      <c r="V3" s="86"/>
      <c r="W3" s="86"/>
      <c r="X3" s="86"/>
    </row>
    <row r="4" spans="3:24" x14ac:dyDescent="0.25">
      <c r="C4" t="s">
        <v>164</v>
      </c>
      <c r="D4" t="s">
        <v>53</v>
      </c>
      <c r="G4" s="40" t="s">
        <v>165</v>
      </c>
      <c r="H4" s="128" t="s">
        <v>166</v>
      </c>
      <c r="Q4" s="87"/>
      <c r="R4" s="86"/>
      <c r="S4" s="86"/>
      <c r="T4" s="86"/>
      <c r="U4" s="86"/>
      <c r="V4" s="86"/>
      <c r="W4" s="86"/>
      <c r="X4" s="86"/>
    </row>
    <row r="5" spans="3:24" x14ac:dyDescent="0.25">
      <c r="C5" t="s">
        <v>167</v>
      </c>
      <c r="G5" s="40" t="s">
        <v>168</v>
      </c>
      <c r="H5" s="128" t="s">
        <v>169</v>
      </c>
      <c r="Q5" s="87"/>
      <c r="R5" s="86"/>
      <c r="S5" s="86"/>
      <c r="T5" s="86"/>
      <c r="U5" s="86"/>
      <c r="V5" s="86"/>
      <c r="W5" s="86"/>
      <c r="X5" s="86"/>
    </row>
    <row r="6" spans="3:24" x14ac:dyDescent="0.25">
      <c r="C6" t="s">
        <v>170</v>
      </c>
      <c r="G6" s="40" t="s">
        <v>171</v>
      </c>
      <c r="H6" s="128" t="s">
        <v>172</v>
      </c>
      <c r="Q6" s="87"/>
      <c r="R6" s="86"/>
      <c r="S6" s="86"/>
      <c r="T6" s="86"/>
      <c r="U6" s="86"/>
      <c r="V6" s="86"/>
      <c r="W6" s="86"/>
      <c r="X6" s="86"/>
    </row>
    <row r="7" spans="3:24" x14ac:dyDescent="0.25">
      <c r="C7" t="s">
        <v>173</v>
      </c>
      <c r="G7" s="40" t="s">
        <v>174</v>
      </c>
      <c r="H7" s="128" t="s">
        <v>175</v>
      </c>
      <c r="Q7" s="87"/>
      <c r="R7" s="86"/>
      <c r="S7" s="86"/>
      <c r="T7" s="86"/>
      <c r="U7" s="86"/>
      <c r="V7" s="86"/>
      <c r="W7" s="86"/>
      <c r="X7" s="86"/>
    </row>
    <row r="8" spans="3:24" x14ac:dyDescent="0.25">
      <c r="C8" t="s">
        <v>176</v>
      </c>
      <c r="Q8" s="87"/>
      <c r="R8" s="86"/>
      <c r="S8" s="86"/>
      <c r="T8" s="86"/>
      <c r="U8" s="86"/>
      <c r="V8" s="86"/>
      <c r="W8" s="86"/>
      <c r="X8" s="86"/>
    </row>
    <row r="9" spans="3:24" x14ac:dyDescent="0.25">
      <c r="C9" t="s">
        <v>177</v>
      </c>
      <c r="Q9" s="87"/>
      <c r="R9" s="86"/>
      <c r="S9" s="86"/>
      <c r="T9" s="86"/>
      <c r="U9" s="86"/>
      <c r="V9" s="86"/>
      <c r="W9" s="86"/>
      <c r="X9" s="86"/>
    </row>
    <row r="10" spans="3:24" x14ac:dyDescent="0.25">
      <c r="C10" t="s">
        <v>178</v>
      </c>
      <c r="N10" s="86"/>
      <c r="O10" s="86"/>
      <c r="P10" s="86"/>
      <c r="Q10" s="86"/>
      <c r="R10" s="86"/>
      <c r="S10" s="86"/>
      <c r="T10" s="86"/>
    </row>
    <row r="12" spans="3:24" x14ac:dyDescent="0.25">
      <c r="C12" t="s">
        <v>179</v>
      </c>
      <c r="Q12" t="s">
        <v>180</v>
      </c>
      <c r="S12" s="142"/>
      <c r="T12" s="142"/>
      <c r="U12" s="142"/>
      <c r="V12" s="142"/>
      <c r="W12" s="142"/>
      <c r="X12" s="142"/>
    </row>
    <row r="13" spans="3:24" x14ac:dyDescent="0.25">
      <c r="C13" s="55" t="s">
        <v>49</v>
      </c>
      <c r="D13" s="55" t="s">
        <v>181</v>
      </c>
      <c r="E13" s="55" t="s">
        <v>159</v>
      </c>
      <c r="F13" s="55" t="s">
        <v>162</v>
      </c>
      <c r="G13" s="55" t="s">
        <v>165</v>
      </c>
      <c r="H13" s="55" t="s">
        <v>168</v>
      </c>
      <c r="I13" s="55" t="s">
        <v>171</v>
      </c>
      <c r="J13" s="55" t="s">
        <v>174</v>
      </c>
      <c r="M13" s="40" t="s">
        <v>182</v>
      </c>
      <c r="N13" s="40" t="s">
        <v>183</v>
      </c>
      <c r="O13" s="40" t="s">
        <v>184</v>
      </c>
      <c r="Q13" s="63" t="s">
        <v>49</v>
      </c>
      <c r="R13" s="63" t="s">
        <v>185</v>
      </c>
      <c r="S13" s="63" t="s">
        <v>159</v>
      </c>
      <c r="T13" s="63" t="s">
        <v>162</v>
      </c>
      <c r="U13" s="63" t="s">
        <v>165</v>
      </c>
      <c r="V13" s="63" t="s">
        <v>168</v>
      </c>
      <c r="W13" s="63" t="s">
        <v>171</v>
      </c>
      <c r="X13" s="63" t="s">
        <v>174</v>
      </c>
    </row>
    <row r="14" spans="3:24" x14ac:dyDescent="0.25">
      <c r="C14" s="56" t="s">
        <v>50</v>
      </c>
      <c r="D14" s="61"/>
      <c r="E14" s="61">
        <v>0.58757489087439407</v>
      </c>
      <c r="F14" s="61">
        <v>1.7627246726231824</v>
      </c>
      <c r="G14" s="61">
        <v>8.5198359176787157</v>
      </c>
      <c r="H14" s="61">
        <v>10.870135481176293</v>
      </c>
      <c r="I14" s="61">
        <v>172.45323047163467</v>
      </c>
      <c r="J14" s="61">
        <v>6.1695363541811377</v>
      </c>
      <c r="M14" s="40" t="s">
        <v>50</v>
      </c>
      <c r="N14" s="85">
        <v>2618324.17</v>
      </c>
      <c r="O14" s="85">
        <f>N14*260</f>
        <v>680764284.19999993</v>
      </c>
      <c r="Q14" s="64" t="s">
        <v>50</v>
      </c>
      <c r="R14" s="65"/>
      <c r="S14" s="40">
        <v>4</v>
      </c>
      <c r="T14" s="40">
        <v>12</v>
      </c>
      <c r="U14" s="40">
        <v>58</v>
      </c>
      <c r="V14" s="40">
        <v>74</v>
      </c>
      <c r="W14" s="40">
        <v>1174</v>
      </c>
      <c r="X14" s="40">
        <v>42</v>
      </c>
    </row>
    <row r="15" spans="3:24" x14ac:dyDescent="0.25">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x14ac:dyDescent="0.25">
      <c r="C16" s="56" t="s">
        <v>167</v>
      </c>
      <c r="D16" s="61"/>
      <c r="E16" s="61">
        <v>1.1315255007738096</v>
      </c>
      <c r="F16" s="61">
        <v>3.9089062754004331</v>
      </c>
      <c r="G16" s="61">
        <v>19.95599519546537</v>
      </c>
      <c r="H16" s="61">
        <v>32.197043794745674</v>
      </c>
      <c r="I16" s="61">
        <v>398.29697627238102</v>
      </c>
      <c r="J16" s="61">
        <v>12.549646463127708</v>
      </c>
      <c r="M16" s="40" t="s">
        <v>167</v>
      </c>
      <c r="N16" s="85">
        <v>3738995.92</v>
      </c>
      <c r="O16" s="85">
        <f t="shared" si="0"/>
        <v>972138939.19999993</v>
      </c>
      <c r="Q16" s="64" t="s">
        <v>167</v>
      </c>
      <c r="R16" s="65"/>
      <c r="S16" s="40">
        <v>11</v>
      </c>
      <c r="T16" s="40">
        <v>38</v>
      </c>
      <c r="U16" s="40">
        <v>194</v>
      </c>
      <c r="V16" s="40">
        <v>313</v>
      </c>
      <c r="W16" s="40">
        <v>3872</v>
      </c>
      <c r="X16" s="40">
        <v>122</v>
      </c>
    </row>
    <row r="17" spans="3:24" x14ac:dyDescent="0.25">
      <c r="C17" s="56" t="s">
        <v>170</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170</v>
      </c>
      <c r="R17" s="65"/>
      <c r="S17" s="40">
        <v>6</v>
      </c>
      <c r="T17" s="40">
        <v>44</v>
      </c>
      <c r="U17" s="40">
        <v>189</v>
      </c>
      <c r="V17" s="40">
        <v>328</v>
      </c>
      <c r="W17" s="40">
        <v>3467</v>
      </c>
      <c r="X17" s="40">
        <v>117</v>
      </c>
    </row>
    <row r="18" spans="3:24" x14ac:dyDescent="0.25">
      <c r="C18" s="56" t="s">
        <v>173</v>
      </c>
      <c r="D18" s="61"/>
      <c r="E18" s="61">
        <v>0.90708688014883054</v>
      </c>
      <c r="F18" s="61">
        <v>3.6345604444319584</v>
      </c>
      <c r="G18" s="61">
        <v>19.334618979610692</v>
      </c>
      <c r="H18" s="61">
        <v>53.611319786330533</v>
      </c>
      <c r="I18" s="61">
        <v>404.81547842368047</v>
      </c>
      <c r="J18" s="61">
        <v>37.824280317438905</v>
      </c>
      <c r="M18" s="40" t="s">
        <v>173</v>
      </c>
      <c r="N18" s="85">
        <v>61905697.659999996</v>
      </c>
      <c r="O18" s="85">
        <f t="shared" si="0"/>
        <v>16095481391.599998</v>
      </c>
      <c r="Q18" s="64" t="s">
        <v>173</v>
      </c>
      <c r="R18" s="65"/>
      <c r="S18" s="40">
        <v>146</v>
      </c>
      <c r="T18" s="40">
        <v>585</v>
      </c>
      <c r="U18" s="40">
        <v>3112</v>
      </c>
      <c r="V18" s="40">
        <v>8629</v>
      </c>
      <c r="W18" s="40">
        <v>65157</v>
      </c>
      <c r="X18" s="40">
        <v>6088</v>
      </c>
    </row>
    <row r="19" spans="3:24" x14ac:dyDescent="0.25">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x14ac:dyDescent="0.25">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x14ac:dyDescent="0.25">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188</v>
      </c>
      <c r="Q26" t="s">
        <v>189</v>
      </c>
      <c r="S26" s="142"/>
      <c r="T26" s="142"/>
      <c r="U26" s="142"/>
      <c r="V26" s="142"/>
      <c r="W26" s="142"/>
      <c r="X26" s="142"/>
    </row>
    <row r="27" spans="3:24" x14ac:dyDescent="0.25">
      <c r="C27" s="55" t="s">
        <v>49</v>
      </c>
      <c r="D27" s="55" t="s">
        <v>181</v>
      </c>
      <c r="E27" s="55" t="s">
        <v>159</v>
      </c>
      <c r="F27" s="55" t="s">
        <v>162</v>
      </c>
      <c r="G27" s="55" t="s">
        <v>165</v>
      </c>
      <c r="H27" s="55" t="s">
        <v>168</v>
      </c>
      <c r="I27" s="55" t="s">
        <v>171</v>
      </c>
      <c r="J27" s="55" t="s">
        <v>174</v>
      </c>
      <c r="M27" s="40" t="s">
        <v>190</v>
      </c>
      <c r="N27" s="40" t="s">
        <v>183</v>
      </c>
      <c r="O27" s="40" t="s">
        <v>184</v>
      </c>
      <c r="Q27" s="63" t="s">
        <v>49</v>
      </c>
      <c r="R27" s="63" t="s">
        <v>185</v>
      </c>
      <c r="S27" s="63" t="s">
        <v>159</v>
      </c>
      <c r="T27" s="63" t="s">
        <v>162</v>
      </c>
      <c r="U27" s="63" t="s">
        <v>165</v>
      </c>
      <c r="V27" s="63" t="s">
        <v>168</v>
      </c>
      <c r="W27" s="63" t="s">
        <v>171</v>
      </c>
      <c r="X27" s="63" t="s">
        <v>174</v>
      </c>
    </row>
    <row r="28" spans="3:24" x14ac:dyDescent="0.25">
      <c r="C28" s="57" t="s">
        <v>50</v>
      </c>
      <c r="D28" s="61"/>
      <c r="E28" s="61">
        <v>2.3625405586197226</v>
      </c>
      <c r="F28" s="61">
        <v>8.4203368627728583</v>
      </c>
      <c r="G28" s="61">
        <v>41.314170794324376</v>
      </c>
      <c r="H28" s="61">
        <v>65.121310269646187</v>
      </c>
      <c r="I28" s="61">
        <v>615.29037061283384</v>
      </c>
      <c r="J28" s="61">
        <v>20.354195581954531</v>
      </c>
      <c r="M28" s="40" t="s">
        <v>50</v>
      </c>
      <c r="N28" s="85">
        <v>6349097.3499999996</v>
      </c>
      <c r="O28" s="85">
        <f>N28*260</f>
        <v>1650765311</v>
      </c>
      <c r="Q28" s="64" t="s">
        <v>50</v>
      </c>
      <c r="R28" s="65"/>
      <c r="S28" s="40">
        <v>39</v>
      </c>
      <c r="T28" s="40">
        <v>139</v>
      </c>
      <c r="U28" s="40">
        <v>682</v>
      </c>
      <c r="V28" s="40">
        <v>1075</v>
      </c>
      <c r="W28" s="85">
        <v>10157</v>
      </c>
      <c r="X28" s="40">
        <v>336</v>
      </c>
    </row>
    <row r="29" spans="3:24" x14ac:dyDescent="0.25">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x14ac:dyDescent="0.25">
      <c r="C30" s="57" t="s">
        <v>167</v>
      </c>
      <c r="D30" s="61"/>
      <c r="E30" s="61">
        <v>0.99344502357157671</v>
      </c>
      <c r="F30" s="61">
        <v>5.5495894420205314</v>
      </c>
      <c r="G30" s="61">
        <v>33.605847176679887</v>
      </c>
      <c r="H30" s="61">
        <v>63.237914259073463</v>
      </c>
      <c r="I30" s="61">
        <v>637.62042150819855</v>
      </c>
      <c r="J30" s="61">
        <v>27.199839610890752</v>
      </c>
      <c r="M30" s="40" t="s">
        <v>167</v>
      </c>
      <c r="N30" s="85">
        <v>11227441.77</v>
      </c>
      <c r="O30" s="85">
        <f t="shared" si="2"/>
        <v>2919134860.1999998</v>
      </c>
      <c r="Q30" s="64" t="s">
        <v>167</v>
      </c>
      <c r="R30" s="65"/>
      <c r="S30" s="40">
        <v>29</v>
      </c>
      <c r="T30" s="40">
        <v>162</v>
      </c>
      <c r="U30" s="40">
        <v>981</v>
      </c>
      <c r="V30" s="85">
        <v>1846</v>
      </c>
      <c r="W30" s="85">
        <v>18613</v>
      </c>
      <c r="X30" s="40">
        <v>794</v>
      </c>
    </row>
    <row r="31" spans="3:24" x14ac:dyDescent="0.25">
      <c r="C31" s="57" t="s">
        <v>170</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170</v>
      </c>
      <c r="R31" s="65"/>
      <c r="S31" s="40">
        <v>34</v>
      </c>
      <c r="T31" s="40">
        <v>165</v>
      </c>
      <c r="U31" s="40">
        <v>603</v>
      </c>
      <c r="V31" s="85">
        <v>1209</v>
      </c>
      <c r="W31" s="85">
        <v>13123</v>
      </c>
      <c r="X31" s="40">
        <v>563</v>
      </c>
    </row>
    <row r="32" spans="3:24" x14ac:dyDescent="0.25">
      <c r="C32" s="57" t="s">
        <v>173</v>
      </c>
      <c r="D32" s="61"/>
      <c r="E32" s="61">
        <v>1.7455741549787349</v>
      </c>
      <c r="F32" s="61">
        <v>8.8235958091989612</v>
      </c>
      <c r="G32" s="61">
        <v>49.782648723119337</v>
      </c>
      <c r="H32" s="61">
        <v>124.27924895011503</v>
      </c>
      <c r="I32" s="61">
        <v>963.65828946693784</v>
      </c>
      <c r="J32" s="61">
        <v>83.618632907852302</v>
      </c>
      <c r="M32" s="40" t="s">
        <v>173</v>
      </c>
      <c r="N32" s="85">
        <v>68304614.209999993</v>
      </c>
      <c r="O32" s="85">
        <f t="shared" si="2"/>
        <v>17759199694.599998</v>
      </c>
      <c r="Q32" s="64" t="s">
        <v>173</v>
      </c>
      <c r="R32" s="65"/>
      <c r="S32" s="40">
        <v>310</v>
      </c>
      <c r="T32" s="85">
        <v>1567</v>
      </c>
      <c r="U32" s="85">
        <v>8841</v>
      </c>
      <c r="V32" s="85">
        <v>22071</v>
      </c>
      <c r="W32" s="85">
        <v>171138</v>
      </c>
      <c r="X32" s="85">
        <v>14850</v>
      </c>
    </row>
    <row r="33" spans="3:24" x14ac:dyDescent="0.25">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x14ac:dyDescent="0.25">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x14ac:dyDescent="0.25">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9" t="s">
        <v>193</v>
      </c>
      <c r="C4" s="39" t="s">
        <v>194</v>
      </c>
      <c r="D4" s="39" t="s">
        <v>195</v>
      </c>
      <c r="E4" s="39" t="s">
        <v>196</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197</v>
      </c>
      <c r="D11" s="41">
        <v>1</v>
      </c>
      <c r="E11" s="50">
        <v>9600000</v>
      </c>
      <c r="F11" s="70"/>
      <c r="H11" s="53"/>
    </row>
    <row r="14" spans="2:9" x14ac:dyDescent="0.25">
      <c r="B14" s="2" t="s">
        <v>198</v>
      </c>
    </row>
    <row r="16" spans="2:9" x14ac:dyDescent="0.25">
      <c r="B16" s="39" t="s">
        <v>193</v>
      </c>
      <c r="C16" s="40" t="s">
        <v>194</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197</v>
      </c>
      <c r="D23" s="47">
        <v>1</v>
      </c>
      <c r="E23" s="47">
        <v>0</v>
      </c>
      <c r="F23" s="47">
        <v>0</v>
      </c>
      <c r="G23" s="47">
        <v>0</v>
      </c>
      <c r="H23" s="47">
        <v>0</v>
      </c>
      <c r="I23" s="47">
        <v>0</v>
      </c>
    </row>
    <row r="24" spans="2:9" x14ac:dyDescent="0.25">
      <c r="B24" s="143" t="s">
        <v>199</v>
      </c>
      <c r="C24" s="143"/>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17" workbookViewId="0">
      <selection activeCell="C4" sqref="C4:C84"/>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1" t="s">
        <v>202</v>
      </c>
      <c r="D3" s="71" t="s">
        <v>203</v>
      </c>
      <c r="E3" s="71" t="s">
        <v>204</v>
      </c>
      <c r="F3" s="71" t="s">
        <v>205</v>
      </c>
    </row>
    <row r="4" spans="2:6" x14ac:dyDescent="0.25">
      <c r="C4" s="72" t="s">
        <v>206</v>
      </c>
      <c r="D4" s="93">
        <v>101</v>
      </c>
      <c r="E4" s="94">
        <v>0.2</v>
      </c>
      <c r="F4" s="95">
        <v>6</v>
      </c>
    </row>
    <row r="5" spans="2:6" x14ac:dyDescent="0.25">
      <c r="C5" s="73" t="s">
        <v>207</v>
      </c>
      <c r="D5" s="93">
        <v>102</v>
      </c>
      <c r="E5" s="94">
        <v>0.2</v>
      </c>
      <c r="F5" s="95">
        <v>6</v>
      </c>
    </row>
    <row r="6" spans="2:6" x14ac:dyDescent="0.25">
      <c r="C6" s="72" t="s">
        <v>208</v>
      </c>
      <c r="D6" s="93">
        <v>105</v>
      </c>
      <c r="E6" s="96">
        <v>0.25</v>
      </c>
      <c r="F6" s="95">
        <v>10</v>
      </c>
    </row>
    <row r="7" spans="2:6" x14ac:dyDescent="0.25">
      <c r="C7" s="72" t="s">
        <v>209</v>
      </c>
      <c r="D7" s="93">
        <v>106</v>
      </c>
      <c r="E7" s="94">
        <v>0.1</v>
      </c>
      <c r="F7" s="95">
        <v>10</v>
      </c>
    </row>
    <row r="8" spans="2:6" x14ac:dyDescent="0.25">
      <c r="C8" s="72" t="s">
        <v>210</v>
      </c>
      <c r="D8" s="93">
        <v>107</v>
      </c>
      <c r="E8" s="94">
        <v>0.28000000000000003</v>
      </c>
      <c r="F8" s="95">
        <v>10</v>
      </c>
    </row>
    <row r="9" spans="2:6" x14ac:dyDescent="0.25">
      <c r="C9" s="72" t="s">
        <v>211</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253</v>
      </c>
      <c r="D51" s="93">
        <v>502</v>
      </c>
      <c r="E51" s="94">
        <v>0.3</v>
      </c>
      <c r="F51" s="95">
        <v>20</v>
      </c>
    </row>
    <row r="52" spans="3:6" x14ac:dyDescent="0.25">
      <c r="C52" s="72" t="s">
        <v>254</v>
      </c>
      <c r="D52" s="93">
        <v>503</v>
      </c>
      <c r="E52" s="94">
        <v>0.25</v>
      </c>
      <c r="F52" s="95">
        <v>20</v>
      </c>
    </row>
    <row r="53" spans="3:6" x14ac:dyDescent="0.25">
      <c r="C53" s="72" t="s">
        <v>255</v>
      </c>
      <c r="D53" s="93">
        <v>504</v>
      </c>
      <c r="E53" s="94">
        <v>0.25</v>
      </c>
      <c r="F53" s="95">
        <v>20</v>
      </c>
    </row>
    <row r="54" spans="3:6" x14ac:dyDescent="0.25">
      <c r="C54" s="73" t="s">
        <v>256</v>
      </c>
      <c r="D54" s="93">
        <v>505</v>
      </c>
      <c r="E54" s="94">
        <v>0.5</v>
      </c>
      <c r="F54" s="95">
        <v>10</v>
      </c>
    </row>
    <row r="55" spans="3:6" x14ac:dyDescent="0.25">
      <c r="C55" s="72" t="s">
        <v>257</v>
      </c>
      <c r="D55" s="93">
        <v>506</v>
      </c>
      <c r="E55" s="96">
        <v>0.5</v>
      </c>
      <c r="F55" s="95">
        <v>10</v>
      </c>
    </row>
    <row r="56" spans="3:6" x14ac:dyDescent="0.25">
      <c r="C56" s="73" t="s">
        <v>258</v>
      </c>
      <c r="D56" s="93">
        <v>507</v>
      </c>
      <c r="E56" s="96">
        <v>0.65</v>
      </c>
      <c r="F56" s="95">
        <v>10</v>
      </c>
    </row>
    <row r="57" spans="3:6" x14ac:dyDescent="0.25">
      <c r="C57" s="73" t="s">
        <v>259</v>
      </c>
      <c r="D57" s="93">
        <v>510</v>
      </c>
      <c r="E57" s="96">
        <v>0.4</v>
      </c>
      <c r="F57" s="95">
        <v>10</v>
      </c>
    </row>
    <row r="58" spans="3:6" x14ac:dyDescent="0.25">
      <c r="C58" s="72" t="s">
        <v>260</v>
      </c>
      <c r="D58" s="93">
        <v>511</v>
      </c>
      <c r="E58" s="96">
        <v>0.1</v>
      </c>
      <c r="F58" s="95">
        <v>10</v>
      </c>
    </row>
    <row r="59" spans="3:6" x14ac:dyDescent="0.25">
      <c r="C59" s="72" t="s">
        <v>70</v>
      </c>
      <c r="D59" s="93">
        <v>514</v>
      </c>
      <c r="E59" s="94">
        <v>0.8</v>
      </c>
      <c r="F59" s="95">
        <v>30</v>
      </c>
    </row>
    <row r="60" spans="3:6" x14ac:dyDescent="0.25">
      <c r="C60" s="72" t="s">
        <v>261</v>
      </c>
      <c r="D60" s="93">
        <v>515</v>
      </c>
      <c r="E60" s="94">
        <v>0.65</v>
      </c>
      <c r="F60" s="95">
        <v>30</v>
      </c>
    </row>
    <row r="61" spans="3:6" x14ac:dyDescent="0.25">
      <c r="C61" s="73" t="s">
        <v>262</v>
      </c>
      <c r="D61" s="93">
        <v>516</v>
      </c>
      <c r="E61" s="94">
        <v>0.95</v>
      </c>
      <c r="F61" s="95">
        <v>20</v>
      </c>
    </row>
    <row r="62" spans="3:6" x14ac:dyDescent="0.25">
      <c r="C62" s="72" t="s">
        <v>263</v>
      </c>
      <c r="D62" s="93">
        <v>517</v>
      </c>
      <c r="E62" s="96">
        <v>0.28000000000000003</v>
      </c>
      <c r="F62" s="95">
        <v>20</v>
      </c>
    </row>
    <row r="63" spans="3:6" x14ac:dyDescent="0.25">
      <c r="C63" s="72" t="s">
        <v>264</v>
      </c>
      <c r="D63" s="93">
        <v>518</v>
      </c>
      <c r="E63" s="94">
        <v>0.45</v>
      </c>
      <c r="F63" s="95">
        <v>10</v>
      </c>
    </row>
    <row r="64" spans="3:6" x14ac:dyDescent="0.25">
      <c r="C64" s="72" t="s">
        <v>265</v>
      </c>
      <c r="D64" s="93">
        <v>519</v>
      </c>
      <c r="E64" s="94">
        <v>0.25</v>
      </c>
      <c r="F64" s="95">
        <v>10</v>
      </c>
    </row>
    <row r="65" spans="3:6" x14ac:dyDescent="0.25">
      <c r="C65" s="72" t="s">
        <v>266</v>
      </c>
      <c r="D65" s="93">
        <v>520</v>
      </c>
      <c r="E65" s="94">
        <v>0.4</v>
      </c>
      <c r="F65" s="95">
        <v>10</v>
      </c>
    </row>
    <row r="66" spans="3:6" x14ac:dyDescent="0.25">
      <c r="C66" s="72" t="s">
        <v>267</v>
      </c>
      <c r="D66" s="93">
        <v>521</v>
      </c>
      <c r="E66" s="94">
        <v>0.25</v>
      </c>
      <c r="F66" s="95">
        <v>10</v>
      </c>
    </row>
    <row r="67" spans="3:6" x14ac:dyDescent="0.25">
      <c r="C67" s="72" t="s">
        <v>268</v>
      </c>
      <c r="D67" s="93">
        <v>522</v>
      </c>
      <c r="E67" s="94">
        <v>0.4</v>
      </c>
      <c r="F67" s="95">
        <v>10</v>
      </c>
    </row>
    <row r="68" spans="3:6" x14ac:dyDescent="0.25">
      <c r="C68" s="72" t="s">
        <v>269</v>
      </c>
      <c r="D68" s="93">
        <v>523</v>
      </c>
      <c r="E68" s="94">
        <v>0.95</v>
      </c>
      <c r="F68" s="95">
        <v>10</v>
      </c>
    </row>
    <row r="69" spans="3:6" x14ac:dyDescent="0.25">
      <c r="C69" s="72" t="s">
        <v>270</v>
      </c>
      <c r="D69" s="93">
        <v>524</v>
      </c>
      <c r="E69" s="94">
        <v>0.1</v>
      </c>
      <c r="F69" s="95">
        <v>10</v>
      </c>
    </row>
    <row r="70" spans="3:6" x14ac:dyDescent="0.25">
      <c r="C70" s="73" t="s">
        <v>271</v>
      </c>
      <c r="D70" s="93">
        <v>525</v>
      </c>
      <c r="E70" s="94">
        <v>0.25</v>
      </c>
      <c r="F70" s="95">
        <v>10</v>
      </c>
    </row>
    <row r="71" spans="3:6" x14ac:dyDescent="0.25">
      <c r="C71" s="72" t="s">
        <v>272</v>
      </c>
      <c r="D71" s="93">
        <v>526</v>
      </c>
      <c r="E71" s="96">
        <v>0.5</v>
      </c>
      <c r="F71" s="95">
        <v>10</v>
      </c>
    </row>
    <row r="72" spans="3:6" x14ac:dyDescent="0.25">
      <c r="C72" s="72" t="s">
        <v>273</v>
      </c>
      <c r="D72" s="93">
        <v>527</v>
      </c>
      <c r="E72" s="94">
        <v>0.95</v>
      </c>
      <c r="F72" s="95">
        <v>10</v>
      </c>
    </row>
    <row r="73" spans="3:6" x14ac:dyDescent="0.25">
      <c r="C73" s="72" t="s">
        <v>274</v>
      </c>
      <c r="D73" s="93">
        <v>528</v>
      </c>
      <c r="E73" s="94">
        <v>0.2</v>
      </c>
      <c r="F73" s="95">
        <v>10</v>
      </c>
    </row>
    <row r="74" spans="3:6" x14ac:dyDescent="0.25">
      <c r="C74" s="72" t="s">
        <v>275</v>
      </c>
      <c r="D74" s="93">
        <v>529</v>
      </c>
      <c r="E74" s="94">
        <v>0.35</v>
      </c>
      <c r="F74" s="95">
        <v>10</v>
      </c>
    </row>
    <row r="75" spans="3:6" x14ac:dyDescent="0.25">
      <c r="C75" s="72" t="s">
        <v>276</v>
      </c>
      <c r="D75" s="93">
        <v>532</v>
      </c>
      <c r="E75" s="96">
        <v>0.25</v>
      </c>
      <c r="F75" s="95">
        <v>10</v>
      </c>
    </row>
    <row r="76" spans="3:6" x14ac:dyDescent="0.25">
      <c r="C76" s="72" t="s">
        <v>277</v>
      </c>
      <c r="D76" s="93">
        <v>533</v>
      </c>
      <c r="E76" s="94">
        <v>0.15</v>
      </c>
      <c r="F76" s="95">
        <v>5</v>
      </c>
    </row>
    <row r="77" spans="3:6" x14ac:dyDescent="0.25">
      <c r="C77" s="72" t="s">
        <v>278</v>
      </c>
      <c r="D77" s="93">
        <v>535</v>
      </c>
      <c r="E77" s="94">
        <v>0.2</v>
      </c>
      <c r="F77" s="95">
        <v>10</v>
      </c>
    </row>
    <row r="78" spans="3:6" x14ac:dyDescent="0.25">
      <c r="C78" s="72" t="s">
        <v>279</v>
      </c>
      <c r="D78" s="93">
        <v>536</v>
      </c>
      <c r="E78" s="94">
        <v>0.4</v>
      </c>
      <c r="F78" s="95">
        <v>20</v>
      </c>
    </row>
    <row r="79" spans="3:6" x14ac:dyDescent="0.25">
      <c r="C79" s="72" t="s">
        <v>280</v>
      </c>
      <c r="D79" s="93">
        <v>537</v>
      </c>
      <c r="E79" s="94">
        <v>0.4</v>
      </c>
      <c r="F79" s="95">
        <v>20</v>
      </c>
    </row>
    <row r="80" spans="3:6" x14ac:dyDescent="0.25">
      <c r="C80" s="72" t="s">
        <v>281</v>
      </c>
      <c r="D80" s="93">
        <v>538</v>
      </c>
      <c r="E80" s="94">
        <v>0.45</v>
      </c>
      <c r="F80" s="95">
        <v>20</v>
      </c>
    </row>
    <row r="81" spans="3:6" x14ac:dyDescent="0.25">
      <c r="C81" s="72" t="s">
        <v>282</v>
      </c>
      <c r="D81" s="93">
        <v>539</v>
      </c>
      <c r="E81" s="94">
        <v>0.4</v>
      </c>
      <c r="F81" s="95">
        <v>20</v>
      </c>
    </row>
    <row r="82" spans="3:6" x14ac:dyDescent="0.25">
      <c r="C82" s="72" t="s">
        <v>283</v>
      </c>
      <c r="D82" s="93">
        <v>540</v>
      </c>
      <c r="E82" s="94">
        <v>0.25</v>
      </c>
      <c r="F82" s="95">
        <v>10</v>
      </c>
    </row>
    <row r="83" spans="3:6" x14ac:dyDescent="0.25">
      <c r="C83" s="72" t="s">
        <v>284</v>
      </c>
      <c r="D83" s="93">
        <v>542</v>
      </c>
      <c r="E83" s="94">
        <v>0.35</v>
      </c>
      <c r="F83" s="95">
        <v>10</v>
      </c>
    </row>
    <row r="84" spans="3:6" x14ac:dyDescent="0.25">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CF4283-5594-4300-A1E0-8C63AA042FBC}">
  <ds:schemaRefs>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bb691747-8bc2-4259-b27e-e7a3fc70b31c"/>
    <ds:schemaRef ds:uri="http://www.w3.org/XML/1998/namespace"/>
    <ds:schemaRef ds:uri="http://purl.org/dc/dcmitype/"/>
  </ds:schemaRefs>
</ds:datastoreItem>
</file>

<file path=customXml/itemProps2.xml><?xml version="1.0" encoding="utf-8"?>
<ds:datastoreItem xmlns:ds="http://schemas.openxmlformats.org/officeDocument/2006/customXml" ds:itemID="{AA0FF6D8-FEB9-48BB-802C-E56232E2A689}">
  <ds:schemaRefs>
    <ds:schemaRef ds:uri="http://schemas.microsoft.com/sharepoint/v3/contenttype/forms"/>
  </ds:schemaRefs>
</ds:datastoreItem>
</file>

<file path=customXml/itemProps3.xml><?xml version="1.0" encoding="utf-8"?>
<ds:datastoreItem xmlns:ds="http://schemas.openxmlformats.org/officeDocument/2006/customXml" ds:itemID="{A094353D-E4F0-4BF1-BEE9-38755DCD34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2018-10-30T14:28:55Z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