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9_FM1960/"/>
    </mc:Choice>
  </mc:AlternateContent>
  <xr:revisionPtr revIDLastSave="10" documentId="8_{CA00E54B-A9C2-43B8-98C9-F47641392647}" xr6:coauthVersionLast="40" xr6:coauthVersionMax="40" xr10:uidLastSave="{119DACFF-3060-4F83-8A6D-6C762C635518}"/>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O35"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c r="B14" i="12"/>
  <c r="B16" i="12"/>
  <c r="B13" i="12"/>
  <c r="I24" i="9"/>
  <c r="H24" i="9"/>
  <c r="G24" i="9"/>
  <c r="F24" i="9"/>
  <c r="E24" i="9"/>
  <c r="D24" i="9"/>
  <c r="S4" i="12"/>
  <c r="B17" i="12"/>
  <c r="B15"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T4" i="12"/>
  <c r="U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P5" i="12"/>
  <c r="Q4" i="12"/>
  <c r="O10" i="12"/>
  <c r="O21" i="12"/>
  <c r="O24" i="12"/>
  <c r="O33" i="12"/>
  <c r="O18" i="12"/>
  <c r="O29" i="12"/>
  <c r="O7" i="12"/>
  <c r="O15" i="12"/>
  <c r="O23" i="12"/>
  <c r="O26" i="12"/>
  <c r="O5" i="12"/>
  <c r="O30" i="12"/>
  <c r="O6" i="12"/>
  <c r="O9" i="12"/>
  <c r="O20" i="12"/>
  <c r="O31" i="12"/>
  <c r="O14" i="12"/>
  <c r="O25" i="12"/>
  <c r="O28" i="12"/>
  <c r="O36" i="12"/>
  <c r="O22" i="12"/>
  <c r="O27" i="12"/>
  <c r="O11" i="12"/>
  <c r="O34" i="12"/>
  <c r="O12" i="12"/>
  <c r="O16" i="12"/>
  <c r="O17" i="12"/>
  <c r="O32" i="12"/>
  <c r="O19" i="12"/>
  <c r="O13" i="12"/>
  <c r="O8" i="12"/>
  <c r="Q5" i="12"/>
  <c r="R5" i="12"/>
  <c r="P6" i="12"/>
  <c r="N5" i="12"/>
  <c r="N6" i="12"/>
  <c r="N7" i="12"/>
  <c r="N8" i="12"/>
  <c r="N9" i="12"/>
  <c r="N10" i="12"/>
  <c r="N11" i="12"/>
  <c r="N12" i="12"/>
  <c r="T5" i="12"/>
  <c r="U5" i="12"/>
  <c r="N13" i="12"/>
  <c r="N14" i="12"/>
  <c r="N15" i="12"/>
  <c r="N16" i="12"/>
  <c r="N17" i="12"/>
  <c r="N18" i="12"/>
  <c r="N19" i="12"/>
  <c r="N20" i="12"/>
  <c r="N21" i="12"/>
  <c r="N22" i="12"/>
  <c r="N23" i="12"/>
  <c r="N24" i="12"/>
  <c r="N25" i="12"/>
  <c r="N26" i="12"/>
  <c r="N27" i="12"/>
  <c r="N28" i="12"/>
  <c r="N29" i="12"/>
  <c r="N30" i="12"/>
  <c r="N31" i="12"/>
  <c r="N32" i="12"/>
  <c r="N33" i="12"/>
  <c r="N34" i="12"/>
  <c r="N35" i="12"/>
  <c r="N36" i="12"/>
  <c r="E4" i="12"/>
  <c r="E5" i="12"/>
  <c r="E6" i="12"/>
  <c r="Q6" i="12"/>
  <c r="R6" i="12"/>
  <c r="P7" i="12"/>
  <c r="T6" i="12"/>
  <c r="U6" i="12"/>
  <c r="Q7" i="12"/>
  <c r="R7" i="12"/>
  <c r="P8" i="12"/>
  <c r="E21" i="12"/>
  <c r="H26" i="12"/>
  <c r="E17" i="12"/>
  <c r="D26" i="12"/>
  <c r="E19" i="12"/>
  <c r="F26" i="12"/>
  <c r="E22" i="12"/>
  <c r="I26" i="12"/>
  <c r="E18" i="12"/>
  <c r="E26" i="12"/>
  <c r="E20" i="12"/>
  <c r="G26" i="12"/>
  <c r="T7" i="12"/>
  <c r="U7" i="12"/>
  <c r="F27" i="12"/>
  <c r="F30" i="12"/>
  <c r="F32" i="12"/>
  <c r="F33" i="12"/>
  <c r="F28" i="12"/>
  <c r="F29" i="12"/>
  <c r="F31" i="12"/>
  <c r="D31" i="12"/>
  <c r="D30" i="12"/>
  <c r="D32" i="12"/>
  <c r="D27" i="12"/>
  <c r="D29" i="12"/>
  <c r="D28" i="12"/>
  <c r="J28" i="12"/>
  <c r="D33" i="12"/>
  <c r="J33" i="12"/>
  <c r="H29" i="12"/>
  <c r="H30" i="12"/>
  <c r="H33" i="12"/>
  <c r="H31" i="12"/>
  <c r="H32" i="12"/>
  <c r="H27" i="12"/>
  <c r="H28" i="12"/>
  <c r="I30" i="12"/>
  <c r="I29" i="12"/>
  <c r="I33" i="12"/>
  <c r="I31" i="12"/>
  <c r="I27" i="12"/>
  <c r="I32" i="12"/>
  <c r="I28" i="12"/>
  <c r="Q8" i="12"/>
  <c r="R8" i="12"/>
  <c r="P9" i="12"/>
  <c r="G28" i="12"/>
  <c r="G29" i="12"/>
  <c r="G32" i="12"/>
  <c r="G33" i="12"/>
  <c r="G30" i="12"/>
  <c r="G27" i="12"/>
  <c r="G31" i="12"/>
  <c r="E32" i="12"/>
  <c r="E29" i="12"/>
  <c r="E31" i="12"/>
  <c r="E27" i="12"/>
  <c r="E28" i="12"/>
  <c r="E33" i="12"/>
  <c r="E30" i="12"/>
  <c r="T8" i="12"/>
  <c r="U8" i="12"/>
  <c r="J29" i="12"/>
  <c r="J27" i="12"/>
  <c r="J5" i="12"/>
  <c r="R12" i="12"/>
  <c r="J32" i="12"/>
  <c r="P10" i="12"/>
  <c r="Q9" i="12"/>
  <c r="R9" i="12"/>
  <c r="J30" i="12"/>
  <c r="J31" i="12"/>
  <c r="T9" i="12"/>
  <c r="U9" i="12"/>
  <c r="Q10" i="12"/>
  <c r="R10" i="12"/>
  <c r="P11" i="12"/>
  <c r="T12" i="12"/>
  <c r="U12" i="12"/>
  <c r="T10" i="12"/>
  <c r="U10" i="12"/>
  <c r="Q11" i="12"/>
  <c r="R11" i="12"/>
  <c r="T11" i="12"/>
  <c r="U11" i="12"/>
  <c r="P12" i="12"/>
  <c r="P13" i="12"/>
  <c r="Q12" i="12"/>
  <c r="Q13" i="12"/>
  <c r="R13" i="12"/>
  <c r="P14" i="12"/>
  <c r="P15" i="12"/>
  <c r="Q14" i="12"/>
  <c r="R14" i="12"/>
  <c r="T13" i="12"/>
  <c r="U13" i="12"/>
  <c r="T14" i="12"/>
  <c r="U14" i="12"/>
  <c r="P16" i="12"/>
  <c r="Q15" i="12"/>
  <c r="R15" i="12"/>
  <c r="T15" i="12"/>
  <c r="U15" i="12"/>
  <c r="P17" i="12"/>
  <c r="Q16" i="12"/>
  <c r="R16" i="12"/>
  <c r="T16" i="12"/>
  <c r="U16" i="12"/>
  <c r="P18" i="12"/>
  <c r="Q17" i="12"/>
  <c r="R17" i="12"/>
  <c r="T17" i="12"/>
  <c r="U17" i="12"/>
  <c r="P19" i="12"/>
  <c r="Q18" i="12"/>
  <c r="R18" i="12"/>
  <c r="T18" i="12"/>
  <c r="U18" i="12"/>
  <c r="P20" i="12"/>
  <c r="Q19" i="12"/>
  <c r="R19" i="12"/>
  <c r="T19" i="12"/>
  <c r="U19" i="12"/>
  <c r="Q20" i="12"/>
  <c r="R20" i="12"/>
  <c r="P21" i="12"/>
  <c r="T20" i="12"/>
  <c r="U20" i="12"/>
  <c r="P22" i="12"/>
  <c r="Q21" i="12"/>
  <c r="R21" i="12"/>
  <c r="T21" i="12"/>
  <c r="U21" i="12"/>
  <c r="P23" i="12"/>
  <c r="Q22" i="12"/>
  <c r="R22" i="12"/>
  <c r="T22" i="12"/>
  <c r="U22" i="12"/>
  <c r="R23" i="12"/>
  <c r="P24" i="12"/>
  <c r="Q23" i="12"/>
  <c r="Q24" i="12"/>
  <c r="R24" i="12"/>
  <c r="P25" i="12"/>
  <c r="T23" i="12"/>
  <c r="U23" i="12"/>
  <c r="T24" i="12"/>
  <c r="U24" i="12"/>
  <c r="P26" i="12"/>
  <c r="Q25" i="12"/>
  <c r="R25" i="12"/>
  <c r="T25" i="12"/>
  <c r="U25" i="12"/>
  <c r="P27" i="12"/>
  <c r="Q26" i="12"/>
  <c r="R26" i="12"/>
  <c r="T26" i="12"/>
  <c r="U26" i="12"/>
  <c r="Q27" i="12"/>
  <c r="R27" i="12"/>
  <c r="P28" i="12"/>
  <c r="T27" i="12"/>
  <c r="U27" i="12"/>
  <c r="P29" i="12"/>
  <c r="Q28" i="12"/>
  <c r="R28" i="12"/>
  <c r="T28" i="12"/>
  <c r="U28" i="12"/>
  <c r="Q29" i="12"/>
  <c r="R29" i="12"/>
  <c r="P30" i="12"/>
  <c r="T29" i="12"/>
  <c r="U29" i="12"/>
  <c r="P31" i="12"/>
  <c r="Q30" i="12"/>
  <c r="R30" i="12"/>
  <c r="T30" i="12"/>
  <c r="U30" i="12"/>
  <c r="P32" i="12"/>
  <c r="Q31" i="12"/>
  <c r="R31" i="12"/>
  <c r="T31" i="12"/>
  <c r="U31" i="12"/>
  <c r="P33" i="12"/>
  <c r="Q32" i="12"/>
  <c r="R32" i="12"/>
  <c r="T32" i="12"/>
  <c r="U32" i="12"/>
  <c r="Q33" i="12"/>
  <c r="R33" i="12"/>
  <c r="P34" i="12"/>
  <c r="T33" i="12"/>
  <c r="U33" i="12"/>
  <c r="Q34" i="12"/>
  <c r="R34" i="12"/>
  <c r="P35" i="12"/>
  <c r="R35" i="12"/>
  <c r="T34" i="12"/>
  <c r="U34" i="12"/>
  <c r="Q35" i="12"/>
  <c r="P36" i="12"/>
  <c r="Q36"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<sst xmlns="http://schemas.openxmlformats.org/spreadsheetml/2006/main" count="441" uniqueCount="286">
  <si>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</si>
  <si>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</si>
  <si>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</si>
  <si>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</si>
  <si>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</si>
  <si>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</si>
  <si>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</si>
  <si>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</si>
  <si>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</si>
  <si>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</si>
  <si>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</si>
  <si>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</si>
  <si>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</si>
  <si>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</si>
  <si>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</si>
  <si>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</si>
  <si>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</si>
  <si>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</si>
  <si>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</si>
  <si>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</si>
  <si>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</si>
  <si>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</si>
  <si>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</si>
  <si>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</si>
  <si>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</si>
  <si>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</si>
  <si>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</si>
  <si>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</si>
  <si>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</si>
  <si>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</si>
  <si>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</si>
  <si>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</si>
  <si>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</si>
  <si>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</si>
  <si>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</si>
  <si>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</si>
  <si>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</si>
  <si>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</si>
  <si>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</si>
  <si>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</si>
  <si>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</si>
  <si>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</si>
  <si>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</si>
  <si>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</si>
  <si>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</si>
  <si>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</si>
  <si>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</si>
  <si>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</si>
  <si>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1960 Widening</t>
  </si>
  <si>
    <t>County</t>
  </si>
  <si>
    <t>Liberty</t>
  </si>
  <si>
    <t>Data entered by the sponsors</t>
  </si>
  <si>
    <t>Facility Type</t>
  </si>
  <si>
    <t>Non-Freeway</t>
  </si>
  <si>
    <t>HGAC regional travel demand model data provided by HGAC upon request</t>
  </si>
  <si>
    <t>Street Name:</t>
  </si>
  <si>
    <t>FM 1960</t>
  </si>
  <si>
    <t>Populated based on selection in cell "C18"</t>
  </si>
  <si>
    <t>Limits (From)</t>
  </si>
  <si>
    <t>SH 321</t>
  </si>
  <si>
    <t>Benefits calculated by the template</t>
  </si>
  <si>
    <t>Limits (To)</t>
  </si>
  <si>
    <t>SH 99</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</si>
  <si>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</si>
  <si>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</si>
  <si>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</si>
  <si>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</si>
  <si>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</si>
  <si>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</si>
  <si>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</si>
  <si>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Convert 2-Lane Facility to 4-Lane Divided</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</si>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</sst>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8"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6.06</v>
      </c>
      <c r="D12" s="79"/>
      <c r="N12" s="133"/>
      <c r="O12" s="133"/>
      <c r="P12" s="133"/>
      <c r="Q12" s="133"/>
      <c r="R12" s="133"/>
      <c r="S12" s="133"/>
    </row>
    <row r="13" spans="2:19">
      <c r="B13" s="3" t="s">
        <v>64</v>
      </c>
      <c r="C13" s="97">
        <v>257</v>
      </c>
      <c r="D13" s="53"/>
    </row>
    <row r="14" spans="2:19">
      <c r="B14" s="3" t="s">
        <v>65</v>
      </c>
      <c r="C14" s="97" t="s">
        <v>66</v>
      </c>
      <c r="D14" s="53"/>
      <c r="G14" s="90"/>
    </row>
    <row r="15" spans="2:19">
      <c r="C15" s="53"/>
      <c r="D15" s="53"/>
    </row>
    <row r="16" spans="2:19">
      <c r="B16" s="5" t="s">
        <v>67</v>
      </c>
    </row>
    <row r="17" spans="2:13">
      <c r="B17" s="3" t="s">
        <v>68</v>
      </c>
      <c r="C17" s="97">
        <v>2026</v>
      </c>
      <c r="D17" s="80"/>
    </row>
    <row r="18" spans="2:13" ht="30">
      <c r="B18" s="3" t="s">
        <v>69</v>
      </c>
      <c r="C18" s="98" t="s">
        <v>70</v>
      </c>
    </row>
    <row r="19" spans="2:13">
      <c r="B19" s="99" t="s">
        <v>71</v>
      </c>
      <c r="C19" s="128">
        <f>VLOOKUP(C18,'CRF Lookup Table'!C3:F84,2, FALSE)</f>
        <v>538</v>
      </c>
      <c r="D19" s="81"/>
    </row>
    <row r="20" spans="2:13">
      <c r="B20" s="99" t="s">
        <v>72</v>
      </c>
      <c r="C20" s="129">
        <f>VLOOKUP(C18,'CRF Lookup Table'!C3:F84,3, FALSE)</f>
        <v>0.45</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15190</v>
      </c>
      <c r="D25" s="82"/>
      <c r="I25" s="41"/>
    </row>
    <row r="26" spans="2:13">
      <c r="I26" s="41"/>
    </row>
    <row r="27" spans="2:13">
      <c r="B27" s="73" t="s">
        <v>76</v>
      </c>
      <c r="C27" s="74">
        <v>7232.8538332998605</v>
      </c>
      <c r="D27" s="82"/>
      <c r="I27" s="41"/>
    </row>
    <row r="28" spans="2:13">
      <c r="B28" s="73" t="s">
        <v>77</v>
      </c>
      <c r="C28" s="74">
        <v>10528</v>
      </c>
      <c r="D28" s="82"/>
      <c r="I28" s="41"/>
    </row>
    <row r="29" spans="2:13">
      <c r="B29" s="73" t="s">
        <v>78</v>
      </c>
      <c r="C29" s="75">
        <v>8805.6902749819346</v>
      </c>
      <c r="D29" s="58"/>
      <c r="I29" s="41"/>
    </row>
    <row r="30" spans="2:13">
      <c r="B30" s="73" t="s">
        <v>79</v>
      </c>
      <c r="C30" s="75">
        <v>10528</v>
      </c>
      <c r="D30" s="58"/>
      <c r="I30" s="41"/>
    </row>
    <row r="31" spans="2:13">
      <c r="B31" s="73" t="s">
        <v>80</v>
      </c>
      <c r="C31" s="74">
        <v>11827.358994178188</v>
      </c>
      <c r="D31" s="82"/>
      <c r="H31" s="59"/>
    </row>
    <row r="32" spans="2:13">
      <c r="B32" s="73" t="s">
        <v>81</v>
      </c>
      <c r="C32" s="74">
        <v>10528</v>
      </c>
      <c r="D32" s="82"/>
    </row>
    <row r="34" spans="2:9" ht="18.75">
      <c r="B34" s="43" t="s">
        <v>82</v>
      </c>
      <c r="C34" s="44"/>
      <c r="D34" s="44"/>
      <c r="E34" s="44"/>
      <c r="F34" s="44"/>
      <c r="I34" s="59"/>
    </row>
    <row r="36" spans="2:9">
      <c r="B36" s="9" t="s">
        <v>83</v>
      </c>
    </row>
    <row r="37" spans="2:9">
      <c r="B37" s="8" t="s">
        <v>84</v>
      </c>
      <c r="C37" s="34">
        <f>Calculations!U37</f>
        <v>64177.663377030905</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18767.987680874401</v>
      </c>
      <c r="G4" s="136" t="s">
        <v>95</v>
      </c>
      <c r="H4" s="136"/>
      <c r="I4" s="136"/>
      <c r="J4" s="136"/>
      <c r="L4" s="106"/>
      <c r="M4" s="107">
        <v>2018</v>
      </c>
      <c r="N4" s="108">
        <f>_2018_Volume_ADT</f>
        <v>15190</v>
      </c>
      <c r="O4" s="109" t="s">
        <v>96</v>
      </c>
      <c r="P4" s="110">
        <f>MIN(B12,1)</f>
        <v>0.68701119237270714</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113734.00534609886</v>
      </c>
      <c r="G5" s="137" t="s">
        <v>99</v>
      </c>
      <c r="H5" s="137"/>
      <c r="I5" s="137"/>
      <c r="J5" s="111">
        <f>SUMPRODUCT(Possible_Crash_Reductions,'Value of Statistical Life'!E5:E11)</f>
        <v>8851773.7616753411</v>
      </c>
      <c r="L5" s="106"/>
      <c r="M5" s="11">
        <f t="shared" ref="M5:M36" si="1">M4+1</f>
        <v>2019</v>
      </c>
      <c r="N5" s="112">
        <f>N4+(N4*O5)</f>
        <v>15623.036512249717</v>
      </c>
      <c r="O5" s="113">
        <f t="shared" ref="O5:O11" si="2">IF(ISERROR(_2025_2045_Demand_Growth),_2018_2045_Demand_Growth,_2018_2025_Demand_Growth)</f>
        <v>2.8507999489777225E-2</v>
      </c>
      <c r="P5" s="114">
        <f t="shared" ref="P5:P11" si="3">P4*(1+IFERROR(_2018_2025_V_C_Growth,_2018_2045_V_C_Growth))</f>
        <v>0.70659650709433952</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29570841.389985703</v>
      </c>
      <c r="L6" s="106"/>
      <c r="M6" s="107">
        <f t="shared" si="1"/>
        <v>2020</v>
      </c>
      <c r="N6" s="112">
        <f t="shared" ref="N6:N36" si="6">N5+(N5*O6)</f>
        <v>16068.418029169703</v>
      </c>
      <c r="O6" s="113">
        <f t="shared" si="2"/>
        <v>2.8507999489777225E-2</v>
      </c>
      <c r="P6" s="114">
        <f t="shared" si="3"/>
        <v>0.72674015995806329</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16526.496482146798</v>
      </c>
      <c r="O7" s="113">
        <f t="shared" si="2"/>
        <v>2.8507999489777225E-2</v>
      </c>
      <c r="P7" s="114">
        <f t="shared" si="3"/>
        <v>0.74745806806734838</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16997.633835427645</v>
      </c>
      <c r="O8" s="113">
        <f t="shared" si="2"/>
        <v>2.8507999489777225E-2</v>
      </c>
      <c r="P8" s="114">
        <f t="shared" si="3"/>
        <v>0.76876660229044225</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2.8507999489777225E-2</v>
      </c>
      <c r="D9" s="39" t="s">
        <v>104</v>
      </c>
      <c r="E9" s="119">
        <f>IF('Inputs &amp; Outputs'!$C$8='CRASH RATES'!$D$3, VLOOKUP('Inputs &amp; Outputs'!$C$7,'CRASH RATES'!$C$14:$J$21,3,FALSE), VLOOKUP('Inputs &amp; Outputs'!$C$7,'CRASH RATES'!$C$28:$J$35,3,FALSE))</f>
        <v>5.3130646924395055</v>
      </c>
      <c r="F9" s="85"/>
      <c r="L9" s="106"/>
      <c r="M9" s="11">
        <f t="shared" si="1"/>
        <v>2023</v>
      </c>
      <c r="N9" s="112">
        <f t="shared" si="6"/>
        <v>17482.202372135438</v>
      </c>
      <c r="O9" s="113">
        <f t="shared" si="2"/>
        <v>2.8507999489777225E-2</v>
      </c>
      <c r="P9" s="114">
        <f t="shared" si="3"/>
        <v>0.79068260019629599</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1.4860194497980928E-2</v>
      </c>
      <c r="D10" s="39" t="s">
        <v>106</v>
      </c>
      <c r="E10" s="119">
        <f>IF('Inputs &amp; Outputs'!$C$8='CRASH RATES'!$D$3, VLOOKUP('Inputs &amp; Outputs'!$C$7,'CRASH RATES'!$C$14:$J$21,4,FALSE), VLOOKUP('Inputs &amp; Outputs'!$C$7,'CRASH RATES'!$C$28:$J$35,4,FALSE))</f>
        <v>9.8447963418732023</v>
      </c>
      <c r="F10" s="85"/>
      <c r="L10" s="106"/>
      <c r="M10" s="107">
        <f t="shared" si="1"/>
        <v>2024</v>
      </c>
      <c r="N10" s="112">
        <f t="shared" si="6"/>
        <v>17980.584988440456</v>
      </c>
      <c r="O10" s="113">
        <f t="shared" si="2"/>
        <v>2.8507999489777225E-2</v>
      </c>
      <c r="P10" s="114">
        <f t="shared" si="3"/>
        <v>0.8132233793592677</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c r="A11" s="39" t="s">
        <v>107</v>
      </c>
      <c r="B11" s="118">
        <f>(_2045_Peak_Period_Volume/'Inputs &amp; Outputs'!$C$27)^(1/(2045-2018))-1</f>
        <v>1.8381027165506048E-2</v>
      </c>
      <c r="D11" s="39" t="s">
        <v>108</v>
      </c>
      <c r="E11" s="119">
        <f>IF('Inputs &amp; Outputs'!$C$8='CRASH RATES'!$D$3, VLOOKUP('Inputs &amp; Outputs'!$C$7,'CRASH RATES'!$C$14:$J$21,5,FALSE), VLOOKUP('Inputs &amp; Outputs'!$C$7,'CRASH RATES'!$C$28:$J$35,5,FALSE))</f>
        <v>24.065057724578939</v>
      </c>
      <c r="F11" s="85"/>
      <c r="L11" s="106"/>
      <c r="M11" s="11">
        <f t="shared" si="1"/>
        <v>2025</v>
      </c>
      <c r="N11" s="112">
        <f t="shared" si="6"/>
        <v>18493.175496116812</v>
      </c>
      <c r="O11" s="113">
        <f t="shared" si="2"/>
        <v>2.8507999489777225E-2</v>
      </c>
      <c r="P11" s="114">
        <f t="shared" si="3"/>
        <v>0.83640675104311657</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75">
      <c r="A12" s="39" t="s">
        <v>109</v>
      </c>
      <c r="B12" s="120">
        <f>'Inputs &amp; Outputs'!C27/_2018_Peak_Period_Capacity</f>
        <v>0.68701119237270714</v>
      </c>
      <c r="D12" s="39" t="s">
        <v>110</v>
      </c>
      <c r="E12" s="119">
        <f>IF('Inputs &amp; Outputs'!$C$8='CRASH RATES'!$D$3, VLOOKUP('Inputs &amp; Outputs'!$C$7,'CRASH RATES'!$C$14:$J$21,6,FALSE), VLOOKUP('Inputs &amp; Outputs'!$C$7,'CRASH RATES'!$C$28:$J$35,6,FALSE))</f>
        <v>52.349313881389243</v>
      </c>
      <c r="F12" s="85"/>
      <c r="L12" s="106"/>
      <c r="M12" s="107">
        <f t="shared" si="1"/>
        <v>2026</v>
      </c>
      <c r="N12" s="112">
        <f t="shared" si="6"/>
        <v>18767.987680874401</v>
      </c>
      <c r="O12" s="113">
        <f t="shared" ref="O12:O36" si="7">IFERROR(_2025_2045_Demand_Growth,_2018_2045_Demand_Growth)</f>
        <v>1.4860194497980928E-2</v>
      </c>
      <c r="P12" s="114">
        <f t="shared" ref="P12:P36" si="8">P11*(1+IFERROR(_2025_2040_V_C_Growth,_2018_2045_V_C_Growth))</f>
        <v>0.84883591804304159</v>
      </c>
      <c r="Q12" s="115">
        <f t="shared" si="4"/>
        <v>1</v>
      </c>
      <c r="R12" s="30">
        <f>IF(M12=Year_Open_to_Traffic?,Calculations!$J$5,Calculations!R11+(Calculations!R11*Calculations!O12*Q12))</f>
        <v>8851773.7616753411</v>
      </c>
      <c r="S12" s="45">
        <f t="shared" si="0"/>
        <v>1</v>
      </c>
      <c r="T12" s="30">
        <f t="shared" si="5"/>
        <v>8851.7737616753402</v>
      </c>
      <c r="U12" s="31">
        <f>T12/(1+Real_Discount_Rate)^(Calculations!M12-'Assumed Values'!$C$5)</f>
        <v>5151.8129208449664</v>
      </c>
    </row>
    <row r="13" spans="1:21" ht="15.75">
      <c r="A13" s="39" t="s">
        <v>111</v>
      </c>
      <c r="B13" s="120">
        <f>_2025_Peak_Period_Volume/_2025_Peak_Period_Capacity</f>
        <v>0.8364067510431169</v>
      </c>
      <c r="D13" s="39" t="s">
        <v>112</v>
      </c>
      <c r="E13" s="119">
        <f>IF('Inputs &amp; Outputs'!$C$8='CRASH RATES'!$D$3, VLOOKUP('Inputs &amp; Outputs'!$C$7,'CRASH RATES'!$C$14:$J$21,7,FALSE), VLOOKUP('Inputs &amp; Outputs'!$C$7,'CRASH RATES'!$C$28:$J$35,7,FALSE))</f>
        <v>389.41638863409548</v>
      </c>
      <c r="F13" s="85"/>
      <c r="L13" s="106"/>
      <c r="M13" s="11">
        <f t="shared" si="1"/>
        <v>2027</v>
      </c>
      <c r="N13" s="112">
        <f t="shared" si="6"/>
        <v>19046.883628147905</v>
      </c>
      <c r="O13" s="113">
        <f t="shared" si="7"/>
        <v>1.4860194497980928E-2</v>
      </c>
      <c r="P13" s="114">
        <f t="shared" si="8"/>
        <v>0.86144978488203339</v>
      </c>
      <c r="Q13" s="115">
        <f t="shared" si="4"/>
        <v>1</v>
      </c>
      <c r="R13" s="30">
        <f>IF(M13=Year_Open_to_Traffic?,Calculations!$J$5,Calculations!R12+(Calculations!R12*Calculations!O13*Q13))</f>
        <v>8983312.8414259609</v>
      </c>
      <c r="S13" s="45">
        <f t="shared" si="0"/>
        <v>1</v>
      </c>
      <c r="T13" s="30">
        <f t="shared" si="5"/>
        <v>8983.3128414259609</v>
      </c>
      <c r="U13" s="31">
        <f>T13/(1+Real_Discount_Rate)^(Calculations!M13-'Assumed Values'!$C$5)</f>
        <v>4886.3269746410597</v>
      </c>
    </row>
    <row r="14" spans="1:21" ht="15.75">
      <c r="A14" s="39" t="s">
        <v>113</v>
      </c>
      <c r="B14" s="120">
        <f>_2045_Peak_Period_Volume/_2045_Peak_Period_Capacity</f>
        <v>1.123419357349752</v>
      </c>
      <c r="D14" s="39" t="s">
        <v>114</v>
      </c>
      <c r="E14" s="119">
        <f>IF('Inputs &amp; Outputs'!$C$8='CRASH RATES'!$D$3, VLOOKUP('Inputs &amp; Outputs'!$C$7,'CRASH RATES'!$C$14:$J$21,8,FALSE), VLOOKUP('Inputs &amp; Outputs'!$C$7,'CRASH RATES'!$C$28:$J$35,8,FALSE))</f>
        <v>13.126395122497602</v>
      </c>
      <c r="F14" s="85"/>
      <c r="L14" s="106"/>
      <c r="M14" s="107">
        <f>M13+1</f>
        <v>2028</v>
      </c>
      <c r="N14" s="112">
        <f t="shared" si="6"/>
        <v>19329.924023442592</v>
      </c>
      <c r="O14" s="113">
        <f t="shared" si="7"/>
        <v>1.4860194497980928E-2</v>
      </c>
      <c r="P14" s="114">
        <f>P13*(1+IFERROR(_2025_2040_V_C_Growth,_2018_2045_V_C_Growth))</f>
        <v>0.87425109623562425</v>
      </c>
      <c r="Q14" s="115">
        <f t="shared" si="4"/>
        <v>1</v>
      </c>
      <c r="R14" s="30">
        <f>IF(M14=Year_Open_to_Traffic?,Calculations!$J$5,Calculations!R13+(Calculations!R13*Calculations!O14*Q14))</f>
        <v>9116806.6174857598</v>
      </c>
      <c r="S14" s="45">
        <f t="shared" si="0"/>
        <v>1</v>
      </c>
      <c r="T14" s="30">
        <f t="shared" si="5"/>
        <v>9116.8066174857595</v>
      </c>
      <c r="U14" s="31">
        <f>T14/(1+Real_Discount_Rate)^(Calculations!M14-'Assumed Values'!$C$5)</f>
        <v>4634.5221905279968</v>
      </c>
    </row>
    <row r="15" spans="1:21" ht="15.75">
      <c r="A15" s="39" t="s">
        <v>115</v>
      </c>
      <c r="B15" s="118">
        <f>(B13/B12)^(1/(2025-2018))-1</f>
        <v>2.8507999489777225E-2</v>
      </c>
      <c r="L15" s="106"/>
      <c r="M15" s="11">
        <f>M14+1</f>
        <v>2029</v>
      </c>
      <c r="N15" s="112">
        <f t="shared" si="6"/>
        <v>19617.170454062143</v>
      </c>
      <c r="O15" s="113">
        <f t="shared" si="7"/>
        <v>1.4860194497980928E-2</v>
      </c>
      <c r="P15" s="114">
        <f>P14*(1+IFERROR(_2025_2040_V_C_Growth,_2018_2045_V_C_Growth))</f>
        <v>0.88724263756575872</v>
      </c>
      <c r="Q15" s="115">
        <f t="shared" si="4"/>
        <v>1</v>
      </c>
      <c r="R15" s="30">
        <f>IF(M15=Year_Open_to_Traffic?,Calculations!$J$5,Calculations!R14+(Calculations!R14*Calculations!O15*Q15))</f>
        <v>9252284.137022078</v>
      </c>
      <c r="S15" s="45">
        <f t="shared" si="0"/>
        <v>1</v>
      </c>
      <c r="T15" s="30">
        <f t="shared" si="5"/>
        <v>9252.2841370220776</v>
      </c>
      <c r="U15" s="31">
        <f>T15/(1+Real_Discount_Rate)^(Calculations!M15-'Assumed Values'!$C$5)</f>
        <v>4395.6935436303274</v>
      </c>
    </row>
    <row r="16" spans="1:21" ht="15.75">
      <c r="A16" s="39" t="s">
        <v>116</v>
      </c>
      <c r="B16" s="118">
        <f>(B14/B13)^(1/(2045-2025))-1</f>
        <v>1.4860194497980928E-2</v>
      </c>
      <c r="D16" s="121" t="s">
        <v>117</v>
      </c>
      <c r="E16" s="57"/>
      <c r="L16" s="106"/>
      <c r="M16" s="107">
        <f t="shared" si="1"/>
        <v>2030</v>
      </c>
      <c r="N16" s="112">
        <f t="shared" si="6"/>
        <v>19908.685422509552</v>
      </c>
      <c r="O16" s="113">
        <f t="shared" si="7"/>
        <v>1.4860194497980928E-2</v>
      </c>
      <c r="P16" s="114">
        <f t="shared" si="8"/>
        <v>0.90042723572688754</v>
      </c>
      <c r="Q16" s="115">
        <f t="shared" si="4"/>
        <v>1</v>
      </c>
      <c r="R16" s="30">
        <f>IF(M16=Year_Open_to_Traffic?,Calculations!$J$5,Calculations!R15+(Calculations!R15*Calculations!O16*Q16))</f>
        <v>9389774.8788488097</v>
      </c>
      <c r="S16" s="45">
        <f t="shared" si="0"/>
        <v>1</v>
      </c>
      <c r="T16" s="30">
        <f t="shared" si="5"/>
        <v>9389.7748788488097</v>
      </c>
      <c r="U16" s="31">
        <f>T16/(1+Real_Discount_Rate)^(Calculations!M16-'Assumed Values'!$C$5)</f>
        <v>4169.1723407870977</v>
      </c>
    </row>
    <row r="17" spans="1:21" ht="15.75">
      <c r="A17" s="39" t="s">
        <v>118</v>
      </c>
      <c r="B17" s="118">
        <f>(B14/B12)^(1/(2045-2018))-1</f>
        <v>1.8381027165506048E-2</v>
      </c>
      <c r="D17" s="39" t="s">
        <v>119</v>
      </c>
      <c r="E17" s="122">
        <f>($E$6*Death_Rate)/100000000</f>
        <v>1.5711179331486178</v>
      </c>
      <c r="L17" s="106"/>
      <c r="M17" s="11">
        <f t="shared" si="1"/>
        <v>2031</v>
      </c>
      <c r="N17" s="112">
        <f t="shared" si="6"/>
        <v>20204.532360087163</v>
      </c>
      <c r="O17" s="113">
        <f t="shared" si="7"/>
        <v>1.4860194497980928E-2</v>
      </c>
      <c r="P17" s="114">
        <f t="shared" si="8"/>
        <v>0.91380775958106841</v>
      </c>
      <c r="Q17" s="115">
        <f t="shared" si="4"/>
        <v>1</v>
      </c>
      <c r="R17" s="30">
        <f>IF(M17=Year_Open_to_Traffic?,Calculations!$J$5,Calculations!R16+(Calculations!R16*Calculations!O17*Q17))</f>
        <v>9529308.7598407585</v>
      </c>
      <c r="S17" s="45">
        <f t="shared" si="0"/>
        <v>1</v>
      </c>
      <c r="T17" s="30">
        <f t="shared" si="5"/>
        <v>9529.3087598407583</v>
      </c>
      <c r="U17" s="31">
        <f>T17/(1+Real_Discount_Rate)^(Calculations!M17-'Assumed Values'!$C$5)</f>
        <v>3954.3243482867251</v>
      </c>
    </row>
    <row r="18" spans="1:21" ht="15.75">
      <c r="D18" s="39" t="s">
        <v>120</v>
      </c>
      <c r="E18" s="122">
        <f>($E$6*Incap_Injry_Rate)/100000000</f>
        <v>2.9111891114224391</v>
      </c>
      <c r="L18" s="106"/>
      <c r="M18" s="107">
        <f t="shared" si="1"/>
        <v>2032</v>
      </c>
      <c r="N18" s="112">
        <f t="shared" si="6"/>
        <v>20504.775640698808</v>
      </c>
      <c r="O18" s="113">
        <f t="shared" si="7"/>
        <v>1.4860194497980928E-2</v>
      </c>
      <c r="P18" s="114">
        <f t="shared" si="8"/>
        <v>0.92738712062220729</v>
      </c>
      <c r="Q18" s="115">
        <f t="shared" si="4"/>
        <v>1</v>
      </c>
      <c r="R18" s="30">
        <f>IF(M18=Year_Open_to_Traffic?,Calculations!$J$5,Calculations!R17+(Calculations!R17*Calculations!O18*Q18))</f>
        <v>9670916.1414433047</v>
      </c>
      <c r="S18" s="45">
        <f t="shared" si="0"/>
        <v>1</v>
      </c>
      <c r="T18" s="30">
        <f t="shared" si="5"/>
        <v>9670.9161414433056</v>
      </c>
      <c r="U18" s="31">
        <f>T18/(1+Real_Discount_Rate)^(Calculations!M18-'Assumed Values'!$C$5)</f>
        <v>3750.5480160844563</v>
      </c>
    </row>
    <row r="19" spans="1:21" ht="15.75">
      <c r="D19" s="39" t="s">
        <v>121</v>
      </c>
      <c r="E19" s="122">
        <f>($E$6*Nonincap_Injry_Rate)/100000000</f>
        <v>7.1162400501437402</v>
      </c>
      <c r="L19" s="106"/>
      <c r="M19" s="11">
        <f t="shared" si="1"/>
        <v>2033</v>
      </c>
      <c r="N19" s="112">
        <f t="shared" si="6"/>
        <v>20809.480594857054</v>
      </c>
      <c r="O19" s="113">
        <f t="shared" si="7"/>
        <v>1.4860194497980928E-2</v>
      </c>
      <c r="P19" s="114">
        <f t="shared" si="8"/>
        <v>0.94116827360957578</v>
      </c>
      <c r="Q19" s="115">
        <f t="shared" si="4"/>
        <v>1</v>
      </c>
      <c r="R19" s="30">
        <f>IF(M19=Year_Open_to_Traffic?,Calculations!$J$5,Calculations!R18+(Calculations!R18*Calculations!O19*Q19))</f>
        <v>9814627.8362788148</v>
      </c>
      <c r="S19" s="45">
        <f t="shared" si="0"/>
        <v>1</v>
      </c>
      <c r="T19" s="30">
        <f t="shared" si="5"/>
        <v>9814.6278362788144</v>
      </c>
      <c r="U19" s="31">
        <f>T19/(1+Real_Discount_Rate)^(Calculations!M19-'Assumed Values'!$C$5)</f>
        <v>3557.272793530361</v>
      </c>
    </row>
    <row r="20" spans="1:21" ht="15.75">
      <c r="D20" s="39" t="s">
        <v>122</v>
      </c>
      <c r="E20" s="122">
        <f>($E$6*Poss_Injry_Rate/100000000)</f>
        <v>15.48013257661138</v>
      </c>
      <c r="L20" s="106"/>
      <c r="M20" s="107">
        <f t="shared" si="1"/>
        <v>2034</v>
      </c>
      <c r="N20" s="112">
        <f t="shared" si="6"/>
        <v>21118.71352389859</v>
      </c>
      <c r="O20" s="113">
        <f t="shared" si="7"/>
        <v>1.4860194497980928E-2</v>
      </c>
      <c r="P20" s="114">
        <f t="shared" si="8"/>
        <v>0.95515421721074301</v>
      </c>
      <c r="Q20" s="115">
        <f t="shared" si="4"/>
        <v>1</v>
      </c>
      <c r="R20" s="30">
        <f>IF(M20=Year_Open_to_Traffic?,Calculations!$J$5,Calculations!R19+(Calculations!R19*Calculations!O20*Q20))</f>
        <v>9960475.1148512159</v>
      </c>
      <c r="S20" s="45">
        <f t="shared" si="0"/>
        <v>1</v>
      </c>
      <c r="T20" s="30">
        <f t="shared" si="5"/>
        <v>9960.475114851215</v>
      </c>
      <c r="U20" s="31">
        <f>T20/(1+Real_Discount_Rate)^(Calculations!M20-'Assumed Values'!$C$5)</f>
        <v>3373.9575318921484</v>
      </c>
    </row>
    <row r="21" spans="1:21" ht="15.75">
      <c r="D21" s="39" t="s">
        <v>123</v>
      </c>
      <c r="E21" s="122">
        <f>($E$6*Non_Injry_Rate)/100000000</f>
        <v>115.1537026295987</v>
      </c>
      <c r="L21" s="106"/>
      <c r="M21" s="11">
        <f>M20+1</f>
        <v>2035</v>
      </c>
      <c r="N21" s="112">
        <f t="shared" si="6"/>
        <v>21432.541714410865</v>
      </c>
      <c r="O21" s="113">
        <f t="shared" si="7"/>
        <v>1.4860194497980928E-2</v>
      </c>
      <c r="P21" s="114">
        <f>P20*(1+IFERROR(_2025_2040_V_C_Growth,_2018_2045_V_C_Growth))</f>
        <v>0.96934799465406141</v>
      </c>
      <c r="Q21" s="115">
        <f t="shared" si="4"/>
        <v>1</v>
      </c>
      <c r="R21" s="30">
        <f>IF(M21=Year_Open_to_Traffic?,Calculations!$J$5,Calculations!R20+(Calculations!R20*Calculations!O21*Q21))</f>
        <v>10108489.712350205</v>
      </c>
      <c r="S21" s="45">
        <f t="shared" si="0"/>
        <v>1</v>
      </c>
      <c r="T21" s="30">
        <f t="shared" si="5"/>
        <v>10108.489712350205</v>
      </c>
      <c r="U21" s="31">
        <f>T21/(1+Real_Discount_Rate)^(Calculations!M21-'Assumed Values'!$C$5)</f>
        <v>3200.0889691999946</v>
      </c>
    </row>
    <row r="22" spans="1:21" ht="15.75">
      <c r="D22" s="39" t="s">
        <v>124</v>
      </c>
      <c r="E22" s="122">
        <f>($E$6*Unkn_Injry_Rate)/100000000</f>
        <v>3.8815854818965851</v>
      </c>
      <c r="L22" s="106"/>
      <c r="M22" s="107">
        <f>M21+1</f>
        <v>2036</v>
      </c>
      <c r="N22" s="112">
        <f t="shared" si="6"/>
        <v>21751.0334528731</v>
      </c>
      <c r="O22" s="113">
        <f t="shared" si="7"/>
        <v>1.4860194497980928E-2</v>
      </c>
      <c r="P22" s="114">
        <f t="shared" si="8"/>
        <v>0.98375269439084856</v>
      </c>
      <c r="Q22" s="115">
        <f t="shared" si="4"/>
        <v>1</v>
      </c>
      <c r="R22" s="30">
        <f>IF(M22=Year_Open_to_Traffic?,Calculations!$J$5,Calculations!R21+(Calculations!R21*Calculations!O22*Q22))</f>
        <v>10258703.835556569</v>
      </c>
      <c r="S22" s="45">
        <f t="shared" si="0"/>
        <v>1</v>
      </c>
      <c r="T22" s="30">
        <f t="shared" si="5"/>
        <v>10258.703835556569</v>
      </c>
      <c r="U22" s="31">
        <f>T22/(1+Real_Discount_Rate)^(Calculations!M22-'Assumed Values'!$C$5)</f>
        <v>3035.1802931711682</v>
      </c>
    </row>
    <row r="23" spans="1:21" ht="15.75">
      <c r="L23" s="106"/>
      <c r="M23" s="11">
        <f t="shared" si="1"/>
        <v>2037</v>
      </c>
      <c r="N23" s="112">
        <f t="shared" si="6"/>
        <v>22074.258040514884</v>
      </c>
      <c r="O23" s="113">
        <f t="shared" si="7"/>
        <v>1.4860194497980928E-2</v>
      </c>
      <c r="P23" s="114">
        <f t="shared" si="8"/>
        <v>0.99837145076740941</v>
      </c>
      <c r="Q23" s="115">
        <f t="shared" si="4"/>
        <v>1</v>
      </c>
      <c r="R23" s="30">
        <f>IF(M23=Year_Open_to_Traffic?,Calculations!$J$5,Calculations!R22+(Calculations!R22*Calculations!O23*Q23))</f>
        <v>10411150.169850122</v>
      </c>
      <c r="S23" s="45">
        <f t="shared" si="0"/>
        <v>1</v>
      </c>
      <c r="T23" s="30">
        <f t="shared" si="5"/>
        <v>10411.150169850122</v>
      </c>
      <c r="U23" s="31">
        <f>T23/(1+Real_Discount_Rate)^(Calculations!M23-'Assumed Values'!$C$5)</f>
        <v>2878.7697781907755</v>
      </c>
    </row>
    <row r="24" spans="1:21" ht="15.75">
      <c r="L24" s="106"/>
      <c r="M24" s="107">
        <f t="shared" si="1"/>
        <v>2038</v>
      </c>
      <c r="N24" s="112">
        <f t="shared" si="6"/>
        <v>22402.285808395554</v>
      </c>
      <c r="O24" s="113">
        <f t="shared" si="7"/>
        <v>1.4860194497980928E-2</v>
      </c>
      <c r="P24" s="114">
        <f t="shared" si="8"/>
        <v>1.0132074447070445</v>
      </c>
      <c r="Q24" s="115">
        <f t="shared" si="4"/>
        <v>0</v>
      </c>
      <c r="R24" s="30">
        <f>IF(M24=Year_Open_to_Traffic?,Calculations!$J$5,Calculations!R23+(Calculations!R23*Calculations!O24*Q24))</f>
        <v>10411150.169850122</v>
      </c>
      <c r="S24" s="45">
        <f t="shared" si="0"/>
        <v>1</v>
      </c>
      <c r="T24" s="30">
        <f t="shared" si="5"/>
        <v>10411.150169850122</v>
      </c>
      <c r="U24" s="31">
        <f>T24/(1+Real_Discount_Rate)^(Calculations!M24-'Assumed Values'!$C$5)</f>
        <v>2690.4390450381084</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22735.18813270767</v>
      </c>
      <c r="O25" s="113">
        <f t="shared" si="7"/>
        <v>1.4860194497980928E-2</v>
      </c>
      <c r="P25" s="114">
        <f t="shared" si="8"/>
        <v>1.0282639044021935</v>
      </c>
      <c r="Q25" s="115">
        <f t="shared" si="4"/>
        <v>0</v>
      </c>
      <c r="R25" s="30">
        <f>IF(M25=Year_Open_to_Traffic?,Calculations!$J$5,Calculations!R24+(Calculations!R24*Calculations!O25*Q25))</f>
        <v>10411150.169850122</v>
      </c>
      <c r="S25" s="45">
        <f t="shared" si="0"/>
        <v>1</v>
      </c>
      <c r="T25" s="30">
        <f t="shared" si="5"/>
        <v>10411.150169850122</v>
      </c>
      <c r="U25" s="31">
        <f>T25/(1+Real_Discount_Rate)^(Calculations!M25-'Assumed Values'!$C$5)</f>
        <v>2514.4290140543067</v>
      </c>
    </row>
    <row r="26" spans="1:21" ht="15.75">
      <c r="A26" s="134"/>
      <c r="B26" s="134"/>
      <c r="D26" s="123">
        <f>Calculations!E17</f>
        <v>1.5711179331486178</v>
      </c>
      <c r="E26" s="123">
        <f>Calculations!E18</f>
        <v>2.9111891114224391</v>
      </c>
      <c r="F26" s="123">
        <f>Calculations!E19</f>
        <v>7.1162400501437402</v>
      </c>
      <c r="G26" s="123">
        <f>Calculations!E20</f>
        <v>15.48013257661138</v>
      </c>
      <c r="H26" s="123">
        <f>Calculations!E21</f>
        <v>115.1537026295987</v>
      </c>
      <c r="I26" s="123">
        <f>Calculations!E22</f>
        <v>3.8815854818965851</v>
      </c>
      <c r="J26" s="135"/>
      <c r="L26" s="106"/>
      <c r="M26" s="107">
        <f t="shared" si="1"/>
        <v>2040</v>
      </c>
      <c r="N26" s="112">
        <f t="shared" si="6"/>
        <v>23073.037450307893</v>
      </c>
      <c r="O26" s="113">
        <f t="shared" si="7"/>
        <v>1.4860194497980928E-2</v>
      </c>
      <c r="P26" s="114">
        <f t="shared" si="8"/>
        <v>1.0435441060168633</v>
      </c>
      <c r="Q26" s="115">
        <f t="shared" si="4"/>
        <v>0</v>
      </c>
      <c r="R26" s="30">
        <f>IF(M26=Year_Open_to_Traffic?,Calculations!$J$5,Calculations!R25+(Calculations!R25*Calculations!O26*Q26))</f>
        <v>10411150.169850122</v>
      </c>
      <c r="S26" s="45">
        <f t="shared" si="0"/>
        <v>1</v>
      </c>
      <c r="T26" s="30">
        <f t="shared" si="5"/>
        <v>10411.150169850122</v>
      </c>
      <c r="U26" s="31">
        <f>T26/(1+Real_Discount_Rate)^(Calculations!M26-'Assumed Values'!$C$5)</f>
        <v>2349.9336579946789</v>
      </c>
    </row>
    <row r="27" spans="1:21" ht="15.75">
      <c r="A27" s="38" t="s">
        <v>127</v>
      </c>
      <c r="B27" s="39" t="s">
        <v>128</v>
      </c>
      <c r="D27" s="124">
        <f>D$26*'Value of Statistical Life'!D17*Appropriate_Crash_Reduction_Factor</f>
        <v>0</v>
      </c>
      <c r="E27" s="124">
        <f>E$26*'Value of Statistical Life'!E17*Appropriate_Crash_Reduction_Factor</f>
        <v>4.5025906391815154E-2</v>
      </c>
      <c r="F27" s="124">
        <f>F$26*'Value of Statistical Life'!F17*Appropriate_Crash_Reduction_Factor</f>
        <v>0.26729665064347413</v>
      </c>
      <c r="G27" s="124">
        <f>G$26*'Value of Statistical Life'!G17*Appropriate_Crash_Reduction_Factor</f>
        <v>1.632635402391184</v>
      </c>
      <c r="H27" s="124">
        <f>H$26*'Value of Statistical Life'!H17*Appropriate_Crash_Reduction_Factor</f>
        <v>47.950347236072794</v>
      </c>
      <c r="I27" s="124">
        <f>I$26*'Value of Statistical Life'!I17*Appropriate_Crash_Reduction_Factor</f>
        <v>0.76289457378291869</v>
      </c>
      <c r="J27" s="124">
        <f t="shared" ref="J27:J33" si="9">SUM(D27:I27)</f>
        <v>50.658199769282184</v>
      </c>
      <c r="K27" s="69"/>
      <c r="L27" s="106"/>
      <c r="M27" s="11">
        <f t="shared" si="1"/>
        <v>2041</v>
      </c>
      <c r="N27" s="112">
        <f t="shared" si="6"/>
        <v>23415.907274478664</v>
      </c>
      <c r="O27" s="113">
        <f t="shared" si="7"/>
        <v>1.4860194497980928E-2</v>
      </c>
      <c r="P27" s="114">
        <f t="shared" si="8"/>
        <v>1.0590513743994956</v>
      </c>
      <c r="Q27" s="115">
        <f t="shared" si="4"/>
        <v>0</v>
      </c>
      <c r="R27" s="30">
        <f>IF(M27=Year_Open_to_Traffic?,Calculations!$J$5,Calculations!R26+(Calculations!R26*Calculations!O27*Q27))</f>
        <v>10411150.169850122</v>
      </c>
      <c r="S27" s="45">
        <f t="shared" si="0"/>
        <v>1</v>
      </c>
      <c r="T27" s="30">
        <f t="shared" si="5"/>
        <v>10411.150169850122</v>
      </c>
      <c r="U27" s="31">
        <f>T27/(1+Real_Discount_Rate)^(Calculations!M27-'Assumed Values'!$C$5)</f>
        <v>2196.1996803688589</v>
      </c>
    </row>
    <row r="28" spans="1:21" ht="15.75">
      <c r="A28" s="38" t="s">
        <v>129</v>
      </c>
      <c r="B28" s="39" t="s">
        <v>130</v>
      </c>
      <c r="D28" s="124">
        <f>D$26*'Value of Statistical Life'!D18*Appropriate_Crash_Reduction_Factor</f>
        <v>0</v>
      </c>
      <c r="E28" s="124">
        <f>E$26*'Value of Statistical Life'!E18*Appropriate_Crash_Reduction_Factor</f>
        <v>0.72640136267668276</v>
      </c>
      <c r="F28" s="124">
        <f>F$26*'Value of Statistical Life'!F18*Appropriate_Crash_Reduction_Factor</f>
        <v>2.4607495537793795</v>
      </c>
      <c r="G28" s="124">
        <f>G$26*'Value of Statistical Life'!G18*Appropriate_Crash_Reduction_Factor</f>
        <v>4.8028194928217163</v>
      </c>
      <c r="H28" s="124">
        <f>H$26*'Value of Statistical Life'!H18*Appropriate_Crash_Reduction_Factor</f>
        <v>3.76051688992349</v>
      </c>
      <c r="I28" s="124">
        <f>I$26*'Value of Statistical Life'!I18*Appropriate_Crash_Reduction_Factor</f>
        <v>0.72906073392996706</v>
      </c>
      <c r="J28" s="124">
        <f t="shared" si="9"/>
        <v>12.479548033131234</v>
      </c>
      <c r="K28" s="69"/>
      <c r="L28" s="106"/>
      <c r="M28" s="107">
        <f t="shared" si="1"/>
        <v>2042</v>
      </c>
      <c r="N28" s="112">
        <f t="shared" si="6"/>
        <v>23763.872210924103</v>
      </c>
      <c r="O28" s="113">
        <f t="shared" si="7"/>
        <v>1.4860194497980928E-2</v>
      </c>
      <c r="P28" s="114">
        <f t="shared" si="8"/>
        <v>1.074789083806426</v>
      </c>
      <c r="Q28" s="115">
        <f t="shared" si="4"/>
        <v>0</v>
      </c>
      <c r="R28" s="30">
        <f>IF(M28=Year_Open_to_Traffic?,Calculations!$J$5,Calculations!R27+(Calculations!R27*Calculations!O28*Q28))</f>
        <v>10411150.169850122</v>
      </c>
      <c r="S28" s="45">
        <f t="shared" si="0"/>
        <v>1</v>
      </c>
      <c r="T28" s="30">
        <f t="shared" si="5"/>
        <v>10411.150169850122</v>
      </c>
      <c r="U28" s="31">
        <f>T28/(1+Real_Discount_Rate)^(Calculations!M28-'Assumed Values'!$C$5)</f>
        <v>2052.5230657652887</v>
      </c>
    </row>
    <row r="29" spans="1:21" ht="15.75">
      <c r="A29" s="38" t="s">
        <v>131</v>
      </c>
      <c r="B29" s="39" t="s">
        <v>132</v>
      </c>
      <c r="D29" s="124">
        <f>D$26*'Value of Statistical Life'!D19*Appropriate_Crash_Reduction_Factor</f>
        <v>0</v>
      </c>
      <c r="E29" s="124">
        <f>E$26*'Value of Statistical Life'!E19*Appropriate_Crash_Reduction_Factor</f>
        <v>0.27390213873729158</v>
      </c>
      <c r="F29" s="124">
        <f>F$26*'Value of Statistical Life'!F19*Appropriate_Crash_Reduction_Factor</f>
        <v>0.34898752829909913</v>
      </c>
      <c r="G29" s="124">
        <f>G$26*'Value of Statistical Life'!G19*Appropriate_Crash_Reduction_Factor</f>
        <v>0.44520087283705495</v>
      </c>
      <c r="H29" s="124">
        <f>H$26*'Value of Statistical Life'!H19*Appropriate_Crash_Reduction_Factor</f>
        <v>0.10260194904297244</v>
      </c>
      <c r="I29" s="124">
        <f>I$26*'Value of Statistical Life'!I19*Appropriate_Crash_Reduction_Factor</f>
        <v>0.15496841877923925</v>
      </c>
      <c r="J29" s="124">
        <f t="shared" si="9"/>
        <v>1.3256609076956574</v>
      </c>
      <c r="K29" s="69"/>
      <c r="L29" s="106"/>
      <c r="M29" s="11">
        <f t="shared" si="1"/>
        <v>2043</v>
      </c>
      <c r="N29" s="112">
        <f t="shared" si="6"/>
        <v>24117.007974003598</v>
      </c>
      <c r="O29" s="113">
        <f t="shared" si="7"/>
        <v>1.4860194497980928E-2</v>
      </c>
      <c r="P29" s="114">
        <f t="shared" si="8"/>
        <v>1.0907606586360963</v>
      </c>
      <c r="Q29" s="115">
        <f t="shared" si="4"/>
        <v>0</v>
      </c>
      <c r="R29" s="30">
        <f>IF(M29=Year_Open_to_Traffic?,Calculations!$J$5,Calculations!R28+(Calculations!R28*Calculations!O29*Q29))</f>
        <v>10411150.169850122</v>
      </c>
      <c r="S29" s="45">
        <f t="shared" si="0"/>
        <v>1</v>
      </c>
      <c r="T29" s="30">
        <f t="shared" si="5"/>
        <v>10411.150169850122</v>
      </c>
      <c r="U29" s="31">
        <f>T29/(1+Real_Discount_Rate)^(Calculations!M29-'Assumed Values'!$C$5)</f>
        <v>1918.2458558554097</v>
      </c>
    </row>
    <row r="30" spans="1:21" ht="15.75">
      <c r="A30" s="38" t="s">
        <v>133</v>
      </c>
      <c r="B30" s="39" t="s">
        <v>134</v>
      </c>
      <c r="D30" s="124">
        <f>D$26*'Value of Statistical Life'!D20*Appropriate_Crash_Reduction_Factor</f>
        <v>0</v>
      </c>
      <c r="E30" s="124">
        <f>E$26*'Value of Statistical Life'!E20*Appropriate_Crash_Reduction_Factor</f>
        <v>0.1891297674072259</v>
      </c>
      <c r="F30" s="124">
        <f>F$26*'Value of Statistical Life'!F20*Appropriate_Crash_Reduction_Factor</f>
        <v>0.10218564900003904</v>
      </c>
      <c r="G30" s="124">
        <f>G$26*'Value of Statistical Life'!G20*Appropriate_Crash_Reduction_Factor</f>
        <v>7.460649895297855E-2</v>
      </c>
      <c r="H30" s="124">
        <f>H$26*'Value of Statistical Life'!H20*Appropriate_Crash_Reduction_Factor</f>
        <v>4.145533294665554E-3</v>
      </c>
      <c r="I30" s="124">
        <f>I$26*'Value of Statistical Life'!I20*Appropriate_Crash_Reduction_Factor</f>
        <v>8.4139187698331314E-2</v>
      </c>
      <c r="J30" s="124">
        <f t="shared" si="9"/>
        <v>0.45420663635324032</v>
      </c>
      <c r="K30" s="69"/>
      <c r="L30" s="106"/>
      <c r="M30" s="11">
        <f t="shared" si="1"/>
        <v>2044</v>
      </c>
      <c r="N30" s="112">
        <f t="shared" si="6"/>
        <v>24475.39140320665</v>
      </c>
      <c r="O30" s="113">
        <f t="shared" si="7"/>
        <v>1.4860194497980928E-2</v>
      </c>
      <c r="P30" s="114">
        <f t="shared" si="8"/>
        <v>1.1069695741741745</v>
      </c>
      <c r="Q30" s="115">
        <f t="shared" si="4"/>
        <v>0</v>
      </c>
      <c r="R30" s="30">
        <f>IF(M30=Year_Open_to_Traffic?,Calculations!$J$5,Calculations!R29+(Calculations!R29*Calculations!O30*Q30))</f>
        <v>10411150.169850122</v>
      </c>
      <c r="S30" s="45">
        <f t="shared" si="0"/>
        <v>1</v>
      </c>
      <c r="T30" s="30">
        <f t="shared" si="5"/>
        <v>10411.150169850122</v>
      </c>
      <c r="U30" s="31">
        <f>T30/(1+Real_Discount_Rate)^(Calculations!M30-'Assumed Values'!$C$5)</f>
        <v>1792.7531363134672</v>
      </c>
    </row>
    <row r="31" spans="1:21" ht="15.75">
      <c r="A31" s="38" t="s">
        <v>135</v>
      </c>
      <c r="B31" s="39" t="s">
        <v>136</v>
      </c>
      <c r="D31" s="124">
        <f>D$26*'Value of Statistical Life'!D21*Appropriate_Crash_Reduction_Factor</f>
        <v>0</v>
      </c>
      <c r="E31" s="124">
        <f>E$26*'Value of Statistical Life'!E21*Appropriate_Crash_Reduction_Factor</f>
        <v>5.221799909158429E-2</v>
      </c>
      <c r="F31" s="124">
        <f>F$26*'Value of Statistical Life'!F21*Appropriate_Crash_Reduction_Factor</f>
        <v>1.9854309739901033E-2</v>
      </c>
      <c r="G31" s="124">
        <f>G$26*'Value of Statistical Life'!G21*Appropriate_Crash_Reduction_Factor</f>
        <v>9.8918047164546722E-3</v>
      </c>
      <c r="H31" s="124">
        <f>H$26*'Value of Statistical Life'!H21*Appropriate_Crash_Reduction_Factor</f>
        <v>0</v>
      </c>
      <c r="I31" s="124">
        <f>I$26*'Value of Statistical Life'!I21*Appropriate_Crash_Reduction_Factor</f>
        <v>1.0777222090485868E-2</v>
      </c>
      <c r="J31" s="124">
        <f t="shared" si="9"/>
        <v>9.2741335638425876E-2</v>
      </c>
      <c r="K31" s="69"/>
      <c r="L31" s="106"/>
      <c r="M31" s="11">
        <f t="shared" si="1"/>
        <v>2045</v>
      </c>
      <c r="N31" s="112">
        <f t="shared" si="6"/>
        <v>24839.100479872512</v>
      </c>
      <c r="O31" s="113">
        <f t="shared" si="7"/>
        <v>1.4860194497980928E-2</v>
      </c>
      <c r="P31" s="114">
        <f t="shared" si="8"/>
        <v>1.12341935734975</v>
      </c>
      <c r="Q31" s="115">
        <f t="shared" si="4"/>
        <v>0</v>
      </c>
      <c r="R31" s="30">
        <f>IF(M31=Year_Open_to_Traffic?,Calculations!$J$5,Calculations!R30+(Calculations!R30*Calculations!O31*Q31))</f>
        <v>10411150.169850122</v>
      </c>
      <c r="S31" s="45">
        <f t="shared" si="0"/>
        <v>1</v>
      </c>
      <c r="T31" s="30">
        <f t="shared" si="5"/>
        <v>10411.150169850122</v>
      </c>
      <c r="U31" s="31">
        <f>T31/(1+Real_Discount_Rate)^(Calculations!M31-'Assumed Values'!$C$5)</f>
        <v>1675.4702208537074</v>
      </c>
    </row>
    <row r="32" spans="1:21" ht="15.75">
      <c r="A32" s="38" t="s">
        <v>137</v>
      </c>
      <c r="B32" s="39" t="s">
        <v>138</v>
      </c>
      <c r="D32" s="124">
        <f>D$26*'Value of Statistical Life'!D22*Appropriate_Crash_Reduction_Factor</f>
        <v>0</v>
      </c>
      <c r="E32" s="124">
        <f>E$26*'Value of Statistical Life'!E22*Appropriate_Crash_Reduction_Factor</f>
        <v>2.3357925835497936E-2</v>
      </c>
      <c r="F32" s="124">
        <f>F$26*'Value of Statistical Life'!F22*Appropriate_Crash_Reduction_Factor</f>
        <v>3.2343311027903301E-3</v>
      </c>
      <c r="G32" s="124">
        <f>G$26*'Value of Statistical Life'!G22*Appropriate_Crash_Reduction_Factor</f>
        <v>9.055877557317657E-4</v>
      </c>
      <c r="H32" s="124">
        <f>H$26*'Value of Statistical Life'!H22*Appropriate_Crash_Reduction_Factor</f>
        <v>1.5545749854995825E-3</v>
      </c>
      <c r="I32" s="124">
        <f>I$26*'Value of Statistical Life'!I22*Appropriate_Crash_Reduction_Factor</f>
        <v>4.8733305725211628E-3</v>
      </c>
      <c r="J32" s="124">
        <f t="shared" si="9"/>
        <v>3.3925750252040782E-2</v>
      </c>
      <c r="K32" s="69"/>
      <c r="L32" s="106"/>
      <c r="M32" s="11">
        <f t="shared" si="1"/>
        <v>2046</v>
      </c>
      <c r="N32" s="112">
        <f t="shared" si="6"/>
        <v>25208.21434415831</v>
      </c>
      <c r="O32" s="113">
        <f t="shared" si="7"/>
        <v>1.4860194497980928E-2</v>
      </c>
      <c r="P32" s="114">
        <f t="shared" si="8"/>
        <v>1.1401135875027639</v>
      </c>
      <c r="Q32" s="115">
        <f t="shared" si="4"/>
        <v>0</v>
      </c>
      <c r="R32" s="30">
        <f>IF(M32=Year_Open_to_Traffic?,Calculations!$J$5,Calculations!R31+(Calculations!R31*Calculations!O32*Q32))</f>
        <v>10411150.169850122</v>
      </c>
      <c r="S32" s="45">
        <f t="shared" si="0"/>
        <v>0</v>
      </c>
      <c r="T32" s="30">
        <f t="shared" si="5"/>
        <v>0</v>
      </c>
      <c r="U32" s="31">
        <f>T32/(1+Real_Discount_Rate)^(Calculations!M32-'Assumed Values'!$C$5)</f>
        <v>0</v>
      </c>
    </row>
    <row r="33" spans="1:21" ht="15.75">
      <c r="A33" s="38" t="s">
        <v>139</v>
      </c>
      <c r="B33" s="39" t="s">
        <v>140</v>
      </c>
      <c r="D33" s="124">
        <f>D$26*'Value of Statistical Life'!D23*Appropriate_Crash_Reduction_Factor</f>
        <v>0.707003069916878</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0.707003069916878</v>
      </c>
      <c r="K33" s="69"/>
      <c r="L33" s="106"/>
      <c r="M33" s="11">
        <f t="shared" si="1"/>
        <v>2047</v>
      </c>
      <c r="N33" s="112">
        <f t="shared" si="6"/>
        <v>25582.813312259295</v>
      </c>
      <c r="O33" s="113">
        <f t="shared" si="7"/>
        <v>1.4860194497980928E-2</v>
      </c>
      <c r="P33" s="114">
        <f t="shared" si="8"/>
        <v>1.1570558971628457</v>
      </c>
      <c r="Q33" s="115">
        <f t="shared" si="4"/>
        <v>0</v>
      </c>
      <c r="R33" s="30">
        <f>IF(M33=Year_Open_to_Traffic?,Calculations!$J$5,Calculations!R32+(Calculations!R32*Calculations!O33*Q33))</f>
        <v>10411150.169850122</v>
      </c>
      <c r="S33" s="45">
        <f t="shared" si="0"/>
        <v>0</v>
      </c>
      <c r="T33" s="30">
        <f t="shared" si="5"/>
        <v>0</v>
      </c>
      <c r="U33" s="31">
        <f>T33/(1+Real_Discount_Rate)^(Calculations!M33-'Assumed Values'!$C$5)</f>
        <v>0</v>
      </c>
    </row>
    <row r="34" spans="1:21" ht="15.75">
      <c r="J34" s="125"/>
      <c r="L34" s="106"/>
      <c r="M34" s="11">
        <f t="shared" si="1"/>
        <v>2048</v>
      </c>
      <c r="N34" s="112">
        <f t="shared" si="6"/>
        <v>25962.978893885003</v>
      </c>
      <c r="O34" s="113">
        <f t="shared" si="7"/>
        <v>1.4860194497980928E-2</v>
      </c>
      <c r="P34" s="114">
        <f t="shared" si="8"/>
        <v>1.1742499728397215</v>
      </c>
      <c r="Q34" s="115">
        <f t="shared" si="4"/>
        <v>0</v>
      </c>
      <c r="R34" s="30">
        <f>IF(M34=Year_Open_to_Traffic?,Calculations!$J$5,Calculations!R33+(Calculations!R33*Calculations!O34*Q34))</f>
        <v>10411150.169850122</v>
      </c>
      <c r="S34" s="45">
        <f t="shared" si="0"/>
        <v>0</v>
      </c>
      <c r="T34" s="30">
        <f t="shared" si="5"/>
        <v>0</v>
      </c>
      <c r="U34" s="31">
        <f>T34/(1+Real_Discount_Rate)^(Calculations!M34-'Assumed Values'!$C$5)</f>
        <v>0</v>
      </c>
    </row>
    <row r="35" spans="1:21" ht="15.75">
      <c r="G35" s="41"/>
      <c r="H35" s="41"/>
      <c r="L35" s="106"/>
      <c r="M35" s="11">
        <f t="shared" si="1"/>
        <v>2049</v>
      </c>
      <c r="N35" s="112">
        <f t="shared" si="6"/>
        <v>26348.79380999511</v>
      </c>
      <c r="O35" s="113">
        <f t="shared" si="7"/>
        <v>1.4860194497980928E-2</v>
      </c>
      <c r="P35" s="114">
        <f t="shared" si="8"/>
        <v>1.1916995558253687</v>
      </c>
      <c r="Q35" s="115">
        <f t="shared" si="4"/>
        <v>0</v>
      </c>
      <c r="R35" s="30">
        <f>IF(M35=Year_Open_to_Traffic?,Calculations!$J$5,Calculations!R34+(Calculations!R34*Calculations!O35*Q35))</f>
        <v>10411150.169850122</v>
      </c>
      <c r="S35" s="45">
        <f t="shared" si="0"/>
        <v>0</v>
      </c>
      <c r="T35" s="30">
        <f t="shared" si="5"/>
        <v>0</v>
      </c>
      <c r="U35" s="31">
        <f>T35/(1+Real_Discount_Rate)^(Calculations!M35-'Assumed Values'!$C$5)</f>
        <v>0</v>
      </c>
    </row>
    <row r="36" spans="1:21" ht="15.75">
      <c r="G36" s="41"/>
      <c r="H36" s="41"/>
      <c r="L36" s="106"/>
      <c r="M36" s="11">
        <f t="shared" si="1"/>
        <v>2050</v>
      </c>
      <c r="N36" s="112">
        <f t="shared" si="6"/>
        <v>26740.342010798831</v>
      </c>
      <c r="O36" s="113">
        <f t="shared" si="7"/>
        <v>1.4860194497980928E-2</v>
      </c>
      <c r="P36" s="114">
        <f t="shared" si="8"/>
        <v>1.2094084430080911</v>
      </c>
      <c r="Q36" s="115">
        <f t="shared" si="4"/>
        <v>0</v>
      </c>
      <c r="R36" s="30">
        <f>IF(M36=Year_Open_to_Traffic?,Calculations!$J$5,Calculations!R35+(Calculations!R35*Calculations!O36*Q36))</f>
        <v>10411150.169850122</v>
      </c>
      <c r="S36" s="45">
        <f t="shared" si="0"/>
        <v>0</v>
      </c>
      <c r="T36" s="30">
        <f t="shared" si="5"/>
        <v>0</v>
      </c>
      <c r="U36" s="31">
        <f>T36/(1+Real_Discount_Rate)^(Calculations!M36-'Assumed Values'!$C$5)</f>
        <v>0</v>
      </c>
    </row>
    <row r="37" spans="1:21">
      <c r="M37" s="39"/>
      <c r="N37" s="39"/>
      <c r="O37" s="118"/>
      <c r="P37" s="120"/>
      <c r="Q37" s="39"/>
      <c r="R37" s="39"/>
      <c r="S37" s="39"/>
      <c r="T37" s="39"/>
      <c r="U37" s="31">
        <f>SUM(U4:U36)</f>
        <v>64177.663377030905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174</v>
      </c>
      <c r="G7" s="39" t="s">
        <v>175</v>
      </c>
      <c r="H7" s="127" t="s">
        <v>176</v>
      </c>
      <c r="Q7" s="86"/>
      <c r="R7" s="85"/>
      <c r="S7" s="85"/>
      <c r="T7" s="85"/>
      <c r="U7" s="85"/>
      <c r="V7" s="85"/>
      <c r="W7" s="85"/>
      <c r="X7" s="85"/>
    </row>
    <row r="8" spans="3:24">
      <c r="C8" t="s">
        <v>50</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166</v>
      </c>
      <c r="H13" s="54" t="s">
        <v>169</v>
      </c>
      <c r="I13" s="54" t="s">
        <v>172</v>
      </c>
      <c r="J13" s="54" t="s">
        <v>175</v>
      </c>
      <c r="M13" s="39" t="s">
        <v>182</v>
      </c>
      <c r="N13" s="39" t="s">
        <v>183</v>
      </c>
      <c r="O13" s="39" t="s">
        <v>184</v>
      </c>
      <c r="Q13" s="62" t="s">
        <v>49</v>
      </c>
      <c r="R13" s="62" t="s">
        <v>185</v>
      </c>
      <c r="S13" s="62" t="s">
        <v>159</v>
      </c>
      <c r="T13" s="62" t="s">
        <v>163</v>
      </c>
      <c r="U13" s="62" t="s">
        <v>166</v>
      </c>
      <c r="V13" s="62" t="s">
        <v>169</v>
      </c>
      <c r="W13" s="62" t="s">
        <v>172</v>
      </c>
      <c r="X13" s="62" t="s">
        <v>175</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174</v>
      </c>
      <c r="D18" s="60"/>
      <c r="E18" s="60">
        <v>0.90708688014883054</v>
      </c>
      <c r="F18" s="60">
        <v>3.6345604444319584</v>
      </c>
      <c r="G18" s="60">
        <v>19.334618979610692</v>
      </c>
      <c r="H18" s="60">
        <v>53.611319786330533</v>
      </c>
      <c r="I18" s="60">
        <v>404.81547842368047</v>
      </c>
      <c r="J18" s="60">
        <v>37.824280317438905</v>
      </c>
      <c r="M18" s="39" t="s">
        <v>174</v>
      </c>
      <c r="N18" s="84">
        <v>61905697.659999996</v>
      </c>
      <c r="O18" s="84">
        <f t="shared" si="0"/>
        <v>16095481391.599998</v>
      </c>
      <c r="Q18" s="63" t="s">
        <v>174</v>
      </c>
      <c r="R18" s="64"/>
      <c r="S18" s="39">
        <v>146</v>
      </c>
      <c r="T18" s="39">
        <v>585</v>
      </c>
      <c r="U18" s="39">
        <v>3112</v>
      </c>
      <c r="V18" s="39">
        <v>8629</v>
      </c>
      <c r="W18" s="39">
        <v>65157</v>
      </c>
      <c r="X18" s="39">
        <v>6088</v>
      </c>
    </row>
    <row r="19" spans="3:24">
      <c r="C19" s="55" t="s">
        <v>50</v>
      </c>
      <c r="D19" s="60"/>
      <c r="E19" s="60">
        <v>3.3935222811020584</v>
      </c>
      <c r="F19" s="60">
        <v>4.2419028513775725</v>
      </c>
      <c r="G19" s="60">
        <v>9.3321862730306595</v>
      </c>
      <c r="H19" s="60">
        <v>22.057894827163377</v>
      </c>
      <c r="I19" s="60">
        <v>135.74089124408232</v>
      </c>
      <c r="J19" s="60">
        <v>3.3935222811020584</v>
      </c>
      <c r="M19" s="39" t="s">
        <v>50</v>
      </c>
      <c r="N19" s="84">
        <v>453352.42</v>
      </c>
      <c r="O19" s="84">
        <f t="shared" si="0"/>
        <v>117871629.2</v>
      </c>
      <c r="Q19" s="63" t="s">
        <v>50</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166</v>
      </c>
      <c r="H27" s="54" t="s">
        <v>169</v>
      </c>
      <c r="I27" s="54" t="s">
        <v>172</v>
      </c>
      <c r="J27" s="54" t="s">
        <v>175</v>
      </c>
      <c r="M27" s="39" t="s">
        <v>190</v>
      </c>
      <c r="N27" s="39" t="s">
        <v>183</v>
      </c>
      <c r="O27" s="39" t="s">
        <v>184</v>
      </c>
      <c r="Q27" s="62" t="s">
        <v>49</v>
      </c>
      <c r="R27" s="62" t="s">
        <v>185</v>
      </c>
      <c r="S27" s="62" t="s">
        <v>159</v>
      </c>
      <c r="T27" s="62" t="s">
        <v>163</v>
      </c>
      <c r="U27" s="62" t="s">
        <v>166</v>
      </c>
      <c r="V27" s="62" t="s">
        <v>169</v>
      </c>
      <c r="W27" s="62" t="s">
        <v>172</v>
      </c>
      <c r="X27" s="62" t="s">
        <v>175</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174</v>
      </c>
      <c r="D32" s="60"/>
      <c r="E32" s="60">
        <v>1.7455741549787349</v>
      </c>
      <c r="F32" s="60">
        <v>8.8235958091989612</v>
      </c>
      <c r="G32" s="60">
        <v>49.782648723119337</v>
      </c>
      <c r="H32" s="60">
        <v>124.27924895011503</v>
      </c>
      <c r="I32" s="60">
        <v>963.65828946693784</v>
      </c>
      <c r="J32" s="60">
        <v>83.618632907852302</v>
      </c>
      <c r="M32" s="39" t="s">
        <v>174</v>
      </c>
      <c r="N32" s="84">
        <v>68304614.209999993</v>
      </c>
      <c r="O32" s="84">
        <f t="shared" si="2"/>
        <v>17759199694.599998</v>
      </c>
      <c r="Q32" s="63" t="s">
        <v>174</v>
      </c>
      <c r="R32" s="64"/>
      <c r="S32" s="39">
        <v>310</v>
      </c>
      <c r="T32" s="84">
        <v>1567</v>
      </c>
      <c r="U32" s="84">
        <v>8841</v>
      </c>
      <c r="V32" s="84">
        <v>22071</v>
      </c>
      <c r="W32" s="84">
        <v>171138</v>
      </c>
      <c r="X32" s="84">
        <v>14850</v>
      </c>
    </row>
    <row r="33" spans="3:24">
      <c r="C33" s="56" t="s">
        <v>50</v>
      </c>
      <c r="D33" s="60"/>
      <c r="E33" s="60">
        <v>5.3130646924395055</v>
      </c>
      <c r="F33" s="60">
        <v>9.8447963418732023</v>
      </c>
      <c r="G33" s="60">
        <v>24.065057724578939</v>
      </c>
      <c r="H33" s="60">
        <v>52.349313881389243</v>
      </c>
      <c r="I33" s="60">
        <v>389.41638863409548</v>
      </c>
      <c r="J33" s="60">
        <v>13.126395122497602</v>
      </c>
      <c r="M33" s="39" t="s">
        <v>50</v>
      </c>
      <c r="N33" s="84">
        <v>2461276.84</v>
      </c>
      <c r="O33" s="84">
        <f t="shared" si="2"/>
        <v>639931978.39999998</v>
      </c>
      <c r="Q33" s="63" t="s">
        <v>50</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261</v>
      </c>
      <c r="D59" s="92">
        <v>514</v>
      </c>
      <c r="E59" s="93">
        <v>0.8</v>
      </c>
      <c r="F59" s="94">
        <v>30</v>
      </c>
    </row>
    <row r="60" spans="3:6">
      <c r="C60" s="71" t="s">
        <v>262</v>
      </c>
      <c r="D60" s="92">
        <v>515</v>
      </c>
      <c r="E60" s="93">
        <v>0.65</v>
      </c>
      <c r="F60" s="94">
        <v>30</v>
      </c>
    </row>
    <row r="61" spans="3:6">
      <c r="C61" s="72" t="s">
        <v>263</v>
      </c>
      <c r="D61" s="92">
        <v>516</v>
      </c>
      <c r="E61" s="93">
        <v>0.95</v>
      </c>
      <c r="F61" s="94">
        <v>20</v>
      </c>
    </row>
    <row r="62" spans="3:6">
      <c r="C62" s="71" t="s">
        <v>264</v>
      </c>
      <c r="D62" s="92">
        <v>517</v>
      </c>
      <c r="E62" s="95">
        <v>0.28000000000000003</v>
      </c>
      <c r="F62" s="94">
        <v>20</v>
      </c>
    </row>
    <row r="63" spans="3:6">
      <c r="C63" s="71" t="s">
        <v>265</v>
      </c>
      <c r="D63" s="92">
        <v>518</v>
      </c>
      <c r="E63" s="93">
        <v>0.45</v>
      </c>
      <c r="F63" s="94">
        <v>10</v>
      </c>
    </row>
    <row r="64" spans="3:6">
      <c r="C64" s="71" t="s">
        <v>266</v>
      </c>
      <c r="D64" s="92">
        <v>519</v>
      </c>
      <c r="E64" s="93">
        <v>0.25</v>
      </c>
      <c r="F64" s="94">
        <v>10</v>
      </c>
    </row>
    <row r="65" spans="3:6">
      <c r="C65" s="71" t="s">
        <v>267</v>
      </c>
      <c r="D65" s="92">
        <v>520</v>
      </c>
      <c r="E65" s="93">
        <v>0.4</v>
      </c>
      <c r="F65" s="94">
        <v>10</v>
      </c>
    </row>
    <row r="66" spans="3:6">
      <c r="C66" s="71" t="s">
        <v>268</v>
      </c>
      <c r="D66" s="92">
        <v>521</v>
      </c>
      <c r="E66" s="93">
        <v>0.25</v>
      </c>
      <c r="F66" s="94">
        <v>10</v>
      </c>
    </row>
    <row r="67" spans="3:6">
      <c r="C67" s="71" t="s">
        <v>269</v>
      </c>
      <c r="D67" s="92">
        <v>522</v>
      </c>
      <c r="E67" s="93">
        <v>0.4</v>
      </c>
      <c r="F67" s="94">
        <v>10</v>
      </c>
    </row>
    <row r="68" spans="3:6">
      <c r="C68" s="71" t="s">
        <v>270</v>
      </c>
      <c r="D68" s="92">
        <v>523</v>
      </c>
      <c r="E68" s="93">
        <v>0.95</v>
      </c>
      <c r="F68" s="94">
        <v>10</v>
      </c>
    </row>
    <row r="69" spans="3:6">
      <c r="C69" s="71" t="s">
        <v>271</v>
      </c>
      <c r="D69" s="92">
        <v>524</v>
      </c>
      <c r="E69" s="93">
        <v>0.1</v>
      </c>
      <c r="F69" s="94">
        <v>10</v>
      </c>
    </row>
    <row r="70" spans="3:6">
      <c r="C70" s="72" t="s">
        <v>272</v>
      </c>
      <c r="D70" s="92">
        <v>525</v>
      </c>
      <c r="E70" s="93">
        <v>0.25</v>
      </c>
      <c r="F70" s="94">
        <v>10</v>
      </c>
    </row>
    <row r="71" spans="3:6">
      <c r="C71" s="71" t="s">
        <v>273</v>
      </c>
      <c r="D71" s="92">
        <v>526</v>
      </c>
      <c r="E71" s="95">
        <v>0.5</v>
      </c>
      <c r="F71" s="94">
        <v>10</v>
      </c>
    </row>
    <row r="72" spans="3:6">
      <c r="C72" s="71" t="s">
        <v>274</v>
      </c>
      <c r="D72" s="92">
        <v>527</v>
      </c>
      <c r="E72" s="93">
        <v>0.95</v>
      </c>
      <c r="F72" s="94">
        <v>10</v>
      </c>
    </row>
    <row r="73" spans="3:6">
      <c r="C73" s="71" t="s">
        <v>275</v>
      </c>
      <c r="D73" s="92">
        <v>528</v>
      </c>
      <c r="E73" s="93">
        <v>0.2</v>
      </c>
      <c r="F73" s="94">
        <v>10</v>
      </c>
    </row>
    <row r="74" spans="3:6">
      <c r="C74" s="71" t="s">
        <v>276</v>
      </c>
      <c r="D74" s="92">
        <v>529</v>
      </c>
      <c r="E74" s="93">
        <v>0.35</v>
      </c>
      <c r="F74" s="94">
        <v>10</v>
      </c>
    </row>
    <row r="75" spans="3:6">
      <c r="C75" s="71" t="s">
        <v>277</v>
      </c>
      <c r="D75" s="92">
        <v>532</v>
      </c>
      <c r="E75" s="95">
        <v>0.25</v>
      </c>
      <c r="F75" s="94">
        <v>10</v>
      </c>
    </row>
    <row r="76" spans="3:6">
      <c r="C76" s="71" t="s">
        <v>278</v>
      </c>
      <c r="D76" s="92">
        <v>533</v>
      </c>
      <c r="E76" s="93">
        <v>0.15</v>
      </c>
      <c r="F76" s="94">
        <v>5</v>
      </c>
    </row>
    <row r="77" spans="3:6">
      <c r="C77" s="71" t="s">
        <v>279</v>
      </c>
      <c r="D77" s="92">
        <v>535</v>
      </c>
      <c r="E77" s="93">
        <v>0.2</v>
      </c>
      <c r="F77" s="94">
        <v>10</v>
      </c>
    </row>
    <row r="78" spans="3:6">
      <c r="C78" s="71" t="s">
        <v>280</v>
      </c>
      <c r="D78" s="92">
        <v>536</v>
      </c>
      <c r="E78" s="93">
        <v>0.4</v>
      </c>
      <c r="F78" s="94">
        <v>20</v>
      </c>
    </row>
    <row r="79" spans="3:6">
      <c r="C79" s="71" t="s">
        <v>281</v>
      </c>
      <c r="D79" s="92">
        <v>537</v>
      </c>
      <c r="E79" s="93">
        <v>0.4</v>
      </c>
      <c r="F79" s="94">
        <v>20</v>
      </c>
    </row>
    <row r="80" spans="3:6">
      <c r="C80" s="71" t="s">
        <v>70</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D4A386-24EE-4FC5-9ACC-5DC0124679B7}"/>
</file>

<file path=customXml/itemProps2.xml><?xml version="1.0" encoding="utf-8"?>
<ds:datastoreItem xmlns:ds="http://schemas.openxmlformats.org/officeDocument/2006/customXml" ds:itemID="{A3719AF9-D5F1-4087-B89B-EAEB989F69FE}"/>
</file>

<file path=customXml/itemProps3.xml><?xml version="1.0" encoding="utf-8"?>
<ds:datastoreItem xmlns:ds="http://schemas.openxmlformats.org/officeDocument/2006/customXml" ds:itemID="{E0FCF2FC-2145-478B-865D-BBD6D7CBF45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