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CRABUN - Memorial\"/>
    </mc:Choice>
  </mc:AlternateContent>
  <xr:revisionPtr revIDLastSave="0" documentId="13_ncr:1_{61422503-B249-4301-999C-109032441CF3}" xr6:coauthVersionLast="37" xr6:coauthVersionMax="37" xr10:uidLastSave="{00000000-0000-0000-0000-000000000000}"/>
  <bookViews>
    <workbookView xWindow="423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J29" i="12" s="1"/>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33" i="12" l="1"/>
  <c r="J32" i="12"/>
  <c r="J31" i="12"/>
  <c r="J27" i="12"/>
  <c r="J30" i="12"/>
  <c r="J28" i="12"/>
  <c r="J5" i="12" l="1"/>
  <c r="R8" i="12" s="1"/>
  <c r="R9" i="12" s="1"/>
  <c r="T8" i="12" l="1"/>
  <c r="U8" i="12" s="1"/>
  <c r="T9" i="12"/>
  <c r="U9" i="12" s="1"/>
  <c r="R10" i="12"/>
  <c r="T10" i="12" l="1"/>
  <c r="U10" i="12" s="1"/>
  <c r="R11" i="12"/>
  <c r="R12" i="12" l="1"/>
  <c r="T11" i="12"/>
  <c r="U11" i="12" s="1"/>
  <c r="T12" i="12" l="1"/>
  <c r="U12" i="12" s="1"/>
  <c r="R13" i="12"/>
  <c r="T13" i="12" l="1"/>
  <c r="U13" i="12" s="1"/>
  <c r="R14" i="12"/>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T30" i="12" l="1"/>
  <c r="U30" i="12" s="1"/>
  <c r="R31" i="12"/>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<sst xmlns="http://schemas.openxmlformats.org/spreadsheetml/2006/main" count="440" uniqueCount="286">
  <si>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</si>
  <si>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</si>
  <si>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</si>
  <si>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</si>
  <si>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</si>
  <si>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</si>
  <si>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</si>
  <si>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</si>
  <si>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</si>
  <si>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</si>
  <si>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</si>
  <si>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</si>
  <si>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</si>
  <si>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</si>
  <si>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</si>
  <si>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</si>
  <si>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</si>
  <si>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</si>
  <si>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</si>
  <si>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</si>
  <si>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</si>
  <si>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</si>
  <si>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</si>
  <si>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</si>
  <si>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</si>
  <si>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</si>
  <si>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</si>
  <si>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</si>
  <si>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</si>
  <si>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</si>
  <si>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</si>
  <si>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</si>
  <si>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</si>
  <si>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</si>
  <si>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</si>
  <si>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</si>
  <si>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</si>
  <si>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</si>
  <si>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</si>
  <si>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</si>
  <si>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</si>
  <si>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</si>
  <si>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</si>
  <si>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</si>
  <si>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</si>
  <si>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</si>
  <si>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</si>
  <si>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</si>
  <si>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</si>
  <si>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</si>
  <si>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</si>
  <si>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</si>
  <si>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</si>
  <si>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</si>
  <si>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</si>
  <si>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</si>
  <si>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</si>
  <si>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</si>
  <si>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</si>
  <si>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</si>
  <si>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</si>
  <si>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</si>
  <si>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</si>
  <si>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</si>
  <si>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</si>
  <si>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</si>
  <si>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</si>
  <si>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</si>
  <si>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</si>
  <si>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</si>
  <si>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</si>
  <si>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</si>
  <si>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</si>
  <si>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</si>
  <si>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</si>
  <si>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</si>
  <si>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</si>
  <si>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</si>
  <si>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</si>
  <si>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</si>
  <si>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</si>
  <si>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</si>
  <si>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</si>
  <si>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</si>
  <si>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</si>
  <si>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</si>
  <si>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</si>
  <si>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</si>
  <si>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</si>
  <si>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</si>
  <si>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</si>
  <si>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</si>
  <si>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</si>
  <si>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</si>
  <si>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</si>
  <si>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</si>
  <si>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</si>
  <si>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</si>
  <si>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</si>
  <si>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</si>
  <si>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</si>
  <si>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</si>
  <si>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</si>
  <si>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</si>
  <si>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</si>
  <si>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</si>
  <si>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</si>
  <si>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</si>
  <si>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</si>
  <si>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</si>
  <si>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</si>
  <si>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</si>
  <si>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</si>
  <si>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</si>
  <si>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</si>
  <si>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</si>
  <si>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</si>
  <si>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</si>
  <si>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</si>
  <si>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</si>
  <si>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</si>
  <si>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</si>
  <si>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</si>
  <si>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</si>
  <si>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</si>
  <si>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</si>
  <si>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</si>
  <si>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</si>
  <si>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</si>
  <si>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</si>
  <si>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</si>
  <si>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</si>
  <si>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</si>
  <si>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</si>
  <si>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</si>
  <si>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</si>
  <si>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</si>
  <si>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</si>
  <si>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</si>
  <si>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</si>
  <si>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</si>
  <si>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</si>
  <si>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</si>
  <si>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</si>
  <si>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</si>
  <si>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</si>
  <si>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</si>
  <si>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</si>
  <si>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</si>
  <si>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</si>
  <si>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</si>
  <si>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</si>
  <si>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</si>
  <si>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</si>
  <si>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</si>
  <si>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</si>
  <si>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</si>
  <si>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</si>
  <si>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</si>
  <si>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</si>
  <si>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</si>
  <si>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</si>
  <si>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</si>
  <si>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</si>
  <si>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</si>
  <si>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</si>
  <si>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</si>
  <si>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</si>
  <si>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</si>
  <si>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</si>
  <si>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</si>
  <si>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</si>
  <si>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</si>
  <si>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</si>
  <si>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</si>
  <si>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</si>
  <si>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</si>
  <si>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</si>
  <si>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</si>
  <si>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</si>
  <si>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</si>
  <si>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</si>
  <si>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</si>
  <si>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</si>
  <si>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</si>
  <si>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</si>
  <si>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</si>
  <si>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</si>
  <si>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</si>
  <si>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</si>
  <si>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</si>
  <si>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</si>
  <si>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</si>
  <si>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</si>
  <si>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</si>
  <si>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</si>
  <si>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</si>
  <si>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</si>
  <si>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</si>
  <si>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</si>
  <si>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</si>
  <si>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</si>
  <si>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</si>
  <si>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</si>
  <si>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</si>
  <si>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</si>
  <si>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</si>
  <si>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</si>
  <si>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</si>
  <si>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</si>
  <si>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</si>
  <si>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</si>
  <si>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</si>
  <si>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</si>
  <si>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</si>
  <si>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</si>
  <si>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</si>
  <si>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</si>
  <si>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</si>
  <si>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</si>
  <si>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</si>
  <si>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</si>
  <si>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</si>
  <si>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</si>
  <si>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</si>
  <si>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</si>
  <si>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</si>
  <si>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</si>
  <si>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</si>
  <si>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</si>
  <si>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</si>
  <si>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</si>
  <si>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</si>
  <si>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</si>
  <si>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</si>
  <si>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</si>
  <si>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</si>
  <si>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</si>
  <si>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</si>
  <si>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</si>
  <si>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</si>
  <si>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</si>
  <si>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</si>
  <si>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</si>
  <si>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</si>
  <si>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</si>
  <si>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</si>
  <si>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</si>
  <si>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</si>
  <si>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</si>
  <si>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</si>
  <si>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</si>
  <si>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</si>
  <si>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</si>
  <si>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</si>
  <si>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</si>
  <si>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</si>
  <si>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</si>
  <si>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</si>
  <si>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</si>
  <si>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</si>
  <si>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</si>
  <si>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</si>
  <si>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</si>
  <si>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</si>
  <si>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</si>
  <si>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</si>
  <si>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</si>
  <si>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</si>
  <si>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</si>
  <si>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</si>
  <si>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</si>
  <si>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</si>
  <si>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</si>
  <si>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</si>
  <si>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</si>
  <si>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</si>
  <si>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</si>
  <si>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</si>
  <si>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</si>
  <si>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</si>
  <si>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Memorial Drive Access Management and Safety Project</t>
  </si>
  <si>
    <t>Non Freeway</t>
  </si>
  <si>
    <t>Memorial Drive &amp; Gessner Road</t>
  </si>
  <si>
    <t>Tallowood Road/Memorial Drive</t>
  </si>
  <si>
    <t>Memorial Drive/Vanderpool 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</si>
</sst>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80" t="s">
        <v>34</v>
      </c>
      <c r="E6" s="181"/>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80" t="s">
        <v>34</v>
      </c>
      <c r="E6" s="181"/>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80" t="s">
        <v>35</v>
      </c>
      <c r="E8" s="181"/>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B1" zoomScaleNormal="100" workbookViewId="0">
      <selection activeCell="C14" sqref="C1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78" t="s">
        <v>281</v>
      </c>
      <c r="D6" s="94"/>
    </row>
    <row r="7" spans="2:19" x14ac:dyDescent="0.25">
      <c r="B7" s="4" t="s">
        <v>117</v>
      </c>
      <c r="C7" s="179" t="s">
        <v>118</v>
      </c>
      <c r="D7" s="64"/>
      <c r="E7" s="4"/>
      <c r="F7" t="s">
        <v>257</v>
      </c>
    </row>
    <row r="8" spans="2:19" x14ac:dyDescent="0.25">
      <c r="B8" s="4" t="s">
        <v>126</v>
      </c>
      <c r="C8" s="179" t="s">
        <v>282</v>
      </c>
      <c r="D8" s="64"/>
      <c r="E8" s="86"/>
      <c r="F8" t="s">
        <v>263</v>
      </c>
    </row>
    <row r="9" spans="2:19" x14ac:dyDescent="0.25">
      <c r="B9" s="4" t="s">
        <v>167</v>
      </c>
      <c r="C9" s="179" t="s">
        <v>283</v>
      </c>
      <c r="D9" s="64"/>
      <c r="E9" s="122"/>
      <c r="F9" t="s">
        <v>268</v>
      </c>
    </row>
    <row r="10" spans="2:19" x14ac:dyDescent="0.25">
      <c r="B10" s="4" t="s">
        <v>114</v>
      </c>
      <c r="C10" s="179" t="s">
        <v>284</v>
      </c>
      <c r="D10" s="64"/>
      <c r="E10" s="9"/>
      <c r="F10" t="s">
        <v>258</v>
      </c>
    </row>
    <row r="11" spans="2:19" x14ac:dyDescent="0.25">
      <c r="B11" s="4" t="s">
        <v>115</v>
      </c>
      <c r="C11" s="179" t="s">
        <v>285</v>
      </c>
      <c r="D11" s="64"/>
    </row>
    <row r="12" spans="2:19" x14ac:dyDescent="0.25">
      <c r="B12" s="4" t="s">
        <v>116</v>
      </c>
      <c r="C12" s="121">
        <v>0.93</v>
      </c>
      <c r="D12" s="95"/>
      <c r="N12" s="182"/>
      <c r="O12" s="182"/>
      <c r="P12" s="182"/>
      <c r="Q12" s="182"/>
      <c r="R12" s="182"/>
      <c r="S12" s="182"/>
    </row>
    <row r="13" spans="2:19" x14ac:dyDescent="0.25">
      <c r="B13" s="4" t="s">
        <v>77</v>
      </c>
      <c r="C13" s="121">
        <v>198</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x14ac:dyDescent="0.25">
      <c r="B18" s="4" t="s">
        <v>259</v>
      </c>
      <c r="C18" s="120" t="s">
        <v>219</v>
      </c>
      <c r="D18" s="26"/>
    </row>
    <row r="19" spans="2:13" x14ac:dyDescent="0.25">
      <c r="B19" s="122" t="s">
        <v>251</v>
      </c>
      <c r="C19" s="174">
        <f>VLOOKUP(C18,'CRF Lookup Table'!C3:F84,2, FALSE)</f>
        <v>201</v>
      </c>
      <c r="D19" s="97"/>
    </row>
    <row r="20" spans="2:13" x14ac:dyDescent="0.25">
      <c r="B20" s="122" t="s">
        <v>102</v>
      </c>
      <c r="C20" s="175">
        <f>VLOOKUP(C18,'CRF Lookup Table'!C3:F84,3, FALSE)</f>
        <v>0.65</v>
      </c>
      <c r="D20" s="98"/>
      <c r="F20" s="68"/>
    </row>
    <row r="21" spans="2:13" x14ac:dyDescent="0.25">
      <c r="B21" s="122" t="s">
        <v>101</v>
      </c>
      <c r="C21" s="176">
        <f>VLOOKUP(C18,'CRF Lookup Table'!C3:F84,4, FALSE)</f>
        <v>15</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24341</v>
      </c>
      <c r="D25" s="99"/>
      <c r="I25" s="49"/>
    </row>
    <row r="26" spans="2:13" x14ac:dyDescent="0.25">
      <c r="I26" s="49"/>
    </row>
    <row r="27" spans="2:13" x14ac:dyDescent="0.25">
      <c r="B27" s="86" t="s">
        <v>269</v>
      </c>
      <c r="C27" s="87">
        <v>9455</v>
      </c>
      <c r="D27" s="99"/>
      <c r="I27" s="49"/>
    </row>
    <row r="28" spans="2:13" x14ac:dyDescent="0.25">
      <c r="B28" s="86" t="s">
        <v>150</v>
      </c>
      <c r="C28" s="87">
        <v>11097</v>
      </c>
      <c r="D28" s="99"/>
      <c r="I28" s="49"/>
    </row>
    <row r="29" spans="2:13" x14ac:dyDescent="0.25">
      <c r="B29" s="86" t="s">
        <v>270</v>
      </c>
      <c r="C29" s="88">
        <v>9575</v>
      </c>
      <c r="D29" s="69"/>
      <c r="I29" s="49"/>
    </row>
    <row r="30" spans="2:13" x14ac:dyDescent="0.25">
      <c r="B30" s="86" t="s">
        <v>151</v>
      </c>
      <c r="C30" s="88">
        <v>11097</v>
      </c>
      <c r="D30" s="69"/>
      <c r="I30" s="49"/>
    </row>
    <row r="31" spans="2:13" x14ac:dyDescent="0.25">
      <c r="B31" s="86" t="s">
        <v>271</v>
      </c>
      <c r="C31" s="87">
        <v>10904</v>
      </c>
      <c r="D31" s="99"/>
      <c r="H31" s="70"/>
    </row>
    <row r="32" spans="2:13" x14ac:dyDescent="0.25">
      <c r="B32" s="86" t="s">
        <v>152</v>
      </c>
      <c r="C32" s="87">
        <v>11097</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15680.204337513071</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24517.053411791883</v>
      </c>
      <c r="G4" s="185" t="s">
        <v>260</v>
      </c>
      <c r="H4" s="185"/>
      <c r="I4" s="185"/>
      <c r="J4" s="185"/>
      <c r="L4" s="136"/>
      <c r="M4" s="137">
        <v>2018</v>
      </c>
      <c r="N4" s="138">
        <f>_2018_Volume_ADT</f>
        <v>24341</v>
      </c>
      <c r="O4" s="139" t="s">
        <v>85</v>
      </c>
      <c r="P4" s="140">
        <f>MIN(B12,1)</f>
        <v>0.852032080742543</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15</v>
      </c>
      <c r="D5" s="134" t="s">
        <v>145</v>
      </c>
      <c r="E5" s="135">
        <f>$E$4*'Inputs &amp; Outputs'!$C$12</f>
        <v>22800.859672966453</v>
      </c>
      <c r="G5" s="186" t="s">
        <v>261</v>
      </c>
      <c r="H5" s="186"/>
      <c r="I5" s="186"/>
      <c r="J5" s="143">
        <f>SUMPRODUCT(Possible_Crash_Reductions,'Value of Statistical Life'!E5:E11)</f>
        <v>2054099.8369896347</v>
      </c>
      <c r="L5" s="136"/>
      <c r="M5" s="144">
        <f t="shared" ref="M5:M36" si="1">M4+1</f>
        <v>2019</v>
      </c>
      <c r="N5" s="145">
        <f>N4+(N4*O5)</f>
        <v>24384.894476825328</v>
      </c>
      <c r="O5" s="146">
        <f t="shared" ref="O5:O11" si="2">IF(ISERROR(_2025_2045_Demand_Growth),_2018_2045_Demand_Growth,_2018_2025_Demand_Growth)</f>
        <v>1.8033144416962354E-3</v>
      </c>
      <c r="P5" s="147">
        <f t="shared" ref="P5:P11" si="3">P4*(1+IFERROR(_2018_2025_V_C_Growth,_2018_2045_V_C_Growth))</f>
        <v>0.85356856249853452</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5928223.5149712777</v>
      </c>
      <c r="L6" s="136"/>
      <c r="M6" s="137">
        <f t="shared" si="1"/>
        <v>2020</v>
      </c>
      <c r="N6" s="145">
        <f t="shared" ref="N6:N36" si="6">N5+(N5*O6)</f>
        <v>24428.868109194627</v>
      </c>
      <c r="O6" s="146">
        <f t="shared" si="2"/>
        <v>1.8033144416962354E-3</v>
      </c>
      <c r="P6" s="147">
        <f t="shared" si="3"/>
        <v>0.85510781501426603</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24472.921039850229</v>
      </c>
      <c r="O7" s="146">
        <f t="shared" si="2"/>
        <v>1.8033144416962354E-3</v>
      </c>
      <c r="P7" s="147">
        <f t="shared" si="3"/>
        <v>0.85664984328628857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24517.053411791883</v>
      </c>
      <c r="O8" s="146">
        <f t="shared" si="2"/>
        <v>1.8033144416962354E-3</v>
      </c>
      <c r="P8" s="147">
        <f t="shared" si="3"/>
        <v>0.85819465232016356</v>
      </c>
      <c r="Q8" s="148">
        <f t="shared" si="4"/>
        <v>1</v>
      </c>
      <c r="R8" s="37">
        <f>IF(M8=Year_Open_to_Traffic?,Calculations!$J$5,Calculations!R7+(Calculations!R7*Calculations!O8*Q8))</f>
        <v>2054099.8369896347</v>
      </c>
      <c r="S8" s="54">
        <f t="shared" si="0"/>
        <v>1</v>
      </c>
      <c r="T8" s="37">
        <f t="shared" si="5"/>
        <v>2054.0998369896347</v>
      </c>
      <c r="U8" s="142">
        <f>T8/(1+Real_Discount_Rate)^(Calculations!M8-'Assumed Values'!$C$5)</f>
        <v>1567.0629307069944</v>
      </c>
    </row>
    <row r="9" spans="1:21" ht="15.75" x14ac:dyDescent="0.25">
      <c r="A9" s="152" t="s">
        <v>76</v>
      </c>
      <c r="B9" s="153">
        <f>(_2025_Peak_Period_Volume/'Inputs &amp; Outputs'!$C$27)^(1/(2025-2018))-1</f>
        <v>1.8033144416962354E-3</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24561.265368277207</v>
      </c>
      <c r="O9" s="146">
        <f t="shared" si="2"/>
        <v>1.8033144416962354E-3</v>
      </c>
      <c r="P9" s="147">
        <f t="shared" si="3"/>
        <v>0.85974224713047898</v>
      </c>
      <c r="Q9" s="148">
        <f t="shared" si="4"/>
        <v>1</v>
      </c>
      <c r="R9" s="37">
        <f>IF(M9=Year_Open_to_Traffic?,Calculations!$J$5,Calculations!R8+(Calculations!R8*Calculations!O9*Q9))</f>
        <v>2057804.0248903639</v>
      </c>
      <c r="S9" s="54">
        <f t="shared" si="0"/>
        <v>1</v>
      </c>
      <c r="T9" s="37">
        <f t="shared" si="5"/>
        <v>2057.804024890364</v>
      </c>
      <c r="U9" s="142">
        <f>T9/(1+Real_Discount_Rate)^(Calculations!M9-'Assumed Values'!$C$5)</f>
        <v>1467.1858298326961</v>
      </c>
    </row>
    <row r="10" spans="1:21" ht="15.75" x14ac:dyDescent="0.25">
      <c r="A10" s="152" t="s">
        <v>106</v>
      </c>
      <c r="B10" s="153">
        <f>(_2045_Peak_Period_Volume/_2025_Peak_Period_Volume)^(1/(2045-2025))-1</f>
        <v>6.5198703869520092E-3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24605.557052822154</v>
      </c>
      <c r="O10" s="146">
        <f t="shared" si="2"/>
        <v>1.8033144416962354E-3</v>
      </c>
      <c r="P10" s="147">
        <f t="shared" si="3"/>
        <v>0.86129263274086576</v>
      </c>
      <c r="Q10" s="148">
        <f t="shared" si="4"/>
        <v>1</v>
      </c>
      <c r="R10" s="37">
        <f>IF(M10=Year_Open_to_Traffic?,Calculations!$J$5,Calculations!R9+(Calculations!R9*Calculations!O10*Q10))</f>
        <v>2061514.8926066293</v>
      </c>
      <c r="S10" s="54">
        <f t="shared" si="0"/>
        <v>1</v>
      </c>
      <c r="T10" s="37">
        <f t="shared" si="5"/>
        <v>2061.5148926066295</v>
      </c>
      <c r="U10" s="142">
        <f>T10/(1+Real_Discount_Rate)^(Calculations!M10-'Assumed Values'!$C$5)</f>
        <v>1373.6744179703605</v>
      </c>
    </row>
    <row r="11" spans="1:21" ht="15.75" x14ac:dyDescent="0.25">
      <c r="A11" s="152" t="s">
        <v>107</v>
      </c>
      <c r="B11" s="153">
        <f>(_2045_Peak_Period_Volume/'Inputs &amp; Outputs'!$C$27)^(1/(2045-2018))-1</f>
        <v>5.2949315394319463E-3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24649.928609201488</v>
      </c>
      <c r="O11" s="146">
        <f t="shared" si="2"/>
        <v>1.8033144416962354E-3</v>
      </c>
      <c r="P11" s="147">
        <f t="shared" si="3"/>
        <v>0.86284581418401396</v>
      </c>
      <c r="Q11" s="148">
        <f t="shared" si="4"/>
        <v>1</v>
      </c>
      <c r="R11" s="37">
        <f>IF(M11=Year_Open_to_Traffic?,Calculations!$J$5,Calculations!R10+(Calculations!R10*Calculations!O11*Q11))</f>
        <v>2065232.4521842387</v>
      </c>
      <c r="S11" s="54">
        <f t="shared" si="0"/>
        <v>1</v>
      </c>
      <c r="T11" s="37">
        <f t="shared" si="5"/>
        <v>2065.2324521842388</v>
      </c>
      <c r="U11" s="142">
        <f>T11/(1+Real_Discount_Rate)^(Calculations!M11-'Assumed Values'!$C$5)</f>
        <v>1286.1229765294158</v>
      </c>
    </row>
    <row r="12" spans="1:21" ht="15.75" x14ac:dyDescent="0.25">
      <c r="A12" s="152" t="s">
        <v>75</v>
      </c>
      <c r="B12" s="156">
        <f>'Inputs &amp; Outputs'!C27/_2018_Peak_Period_Capacity</f>
        <v>0.852032080742543</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24810.642948781104</v>
      </c>
      <c r="O12" s="146">
        <f t="shared" ref="O12:O36" si="7">IFERROR(_2025_2045_Demand_Growth,_2018_2045_Demand_Growth)</f>
        <v>6.5198703869520092E-3</v>
      </c>
      <c r="P12" s="147">
        <f t="shared" ref="P12:P36" si="8">P11*(1+IFERROR(_2025_2040_V_C_Growth,_2018_2045_V_C_Growth))</f>
        <v>0.86847145705641782</v>
      </c>
      <c r="Q12" s="148">
        <f t="shared" si="4"/>
        <v>1</v>
      </c>
      <c r="R12" s="37">
        <f>IF(M12=Year_Open_to_Traffic?,Calculations!$J$5,Calculations!R11+(Calculations!R11*Calculations!O12*Q12))</f>
        <v>2078697.500091407</v>
      </c>
      <c r="S12" s="54">
        <f t="shared" si="0"/>
        <v>1</v>
      </c>
      <c r="T12" s="37">
        <f t="shared" si="5"/>
        <v>2078.6975000914072</v>
      </c>
      <c r="U12" s="142">
        <f>T12/(1+Real_Discount_Rate)^(Calculations!M12-'Assumed Values'!$C$5)</f>
        <v>1209.8208706897838</v>
      </c>
    </row>
    <row r="13" spans="1:21" ht="15.75" x14ac:dyDescent="0.25">
      <c r="A13" s="152" t="s">
        <v>74</v>
      </c>
      <c r="B13" s="156">
        <f>_2025_Peak_Period_Volume/_2025_Peak_Period_Capacity</f>
        <v>0.86284581418401374</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24972.405125024103</v>
      </c>
      <c r="O13" s="146">
        <f t="shared" si="7"/>
        <v>6.5198703869520092E-3</v>
      </c>
      <c r="P13" s="147">
        <f t="shared" si="8"/>
        <v>0.87413377839119299</v>
      </c>
      <c r="Q13" s="148">
        <f t="shared" si="4"/>
        <v>1</v>
      </c>
      <c r="R13" s="37">
        <f>IF(M13=Year_Open_to_Traffic?,Calculations!$J$5,Calculations!R12+(Calculations!R12*Calculations!O13*Q13))</f>
        <v>2092250.338365684</v>
      </c>
      <c r="S13" s="54">
        <f t="shared" si="0"/>
        <v>1</v>
      </c>
      <c r="T13" s="37">
        <f t="shared" si="5"/>
        <v>2092.250338365684</v>
      </c>
      <c r="U13" s="142">
        <f>T13/(1+Real_Discount_Rate)^(Calculations!M13-'Assumed Values'!$C$5)</f>
        <v>1138.0455569701965</v>
      </c>
    </row>
    <row r="14" spans="1:21" ht="15.75" x14ac:dyDescent="0.25">
      <c r="A14" s="152" t="s">
        <v>148</v>
      </c>
      <c r="B14" s="156">
        <f>_2045_Peak_Period_Volume/_2045_Peak_Period_Capacity</f>
        <v>0.98260791204830134</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25135.221969689715</v>
      </c>
      <c r="O14" s="146">
        <f t="shared" si="7"/>
        <v>6.5198703869520092E-3</v>
      </c>
      <c r="P14" s="147">
        <f>P13*(1+IFERROR(_2025_2040_V_C_Growth,_2018_2045_V_C_Growth))</f>
        <v>0.87983301732716024</v>
      </c>
      <c r="Q14" s="148">
        <f t="shared" si="4"/>
        <v>1</v>
      </c>
      <c r="R14" s="37">
        <f>IF(M14=Year_Open_to_Traffic?,Calculations!$J$5,Calculations!R13+(Calculations!R13*Calculations!O14*Q14))</f>
        <v>2105891.5393888848</v>
      </c>
      <c r="S14" s="54">
        <f t="shared" si="0"/>
        <v>1</v>
      </c>
      <c r="T14" s="37">
        <f t="shared" si="5"/>
        <v>2105.8915393888847</v>
      </c>
      <c r="U14" s="142">
        <f>T14/(1+Real_Discount_Rate)^(Calculations!M14-'Assumed Values'!$C$5)</f>
        <v>1070.5284733608307</v>
      </c>
    </row>
    <row r="15" spans="1:21" ht="15.75" x14ac:dyDescent="0.25">
      <c r="A15" s="152" t="s">
        <v>80</v>
      </c>
      <c r="B15" s="153">
        <f>(B13/B12)^(1/(2025-2018))-1</f>
        <v>1.8033144416962354E-3</v>
      </c>
      <c r="L15" s="136"/>
      <c r="M15" s="144">
        <f>M14+1</f>
        <v>2029</v>
      </c>
      <c r="N15" s="145">
        <f t="shared" si="6"/>
        <v>25299.100359079363</v>
      </c>
      <c r="O15" s="146">
        <f t="shared" si="7"/>
        <v>6.5198703869520092E-3</v>
      </c>
      <c r="P15" s="147">
        <f>P14*(1+IFERROR(_2025_2040_V_C_Growth,_2018_2045_V_C_Growth))</f>
        <v>0.88556941456229421</v>
      </c>
      <c r="Q15" s="148">
        <f t="shared" si="4"/>
        <v>1</v>
      </c>
      <c r="R15" s="37">
        <f>IF(M15=Year_Open_to_Traffic?,Calculations!$J$5,Calculations!R14+(Calculations!R14*Calculations!O15*Q15))</f>
        <v>2119621.6792746792</v>
      </c>
      <c r="S15" s="54">
        <f t="shared" si="0"/>
        <v>1</v>
      </c>
      <c r="T15" s="37">
        <f t="shared" si="5"/>
        <v>2119.6216792746791</v>
      </c>
      <c r="U15" s="142">
        <f>T15/(1+Real_Discount_Rate)^(Calculations!M15-'Assumed Values'!$C$5)</f>
        <v>1007.0169908903596</v>
      </c>
    </row>
    <row r="16" spans="1:21" ht="15.75" x14ac:dyDescent="0.25">
      <c r="A16" s="152" t="s">
        <v>108</v>
      </c>
      <c r="B16" s="153">
        <f>(B14/B13)^(1/(2045-2025))-1</f>
        <v>6.5198703869520092E-3</v>
      </c>
      <c r="D16" s="157" t="s">
        <v>136</v>
      </c>
      <c r="E16" s="151"/>
      <c r="L16" s="136"/>
      <c r="M16" s="137">
        <f t="shared" si="1"/>
        <v>2030</v>
      </c>
      <c r="N16" s="145">
        <f t="shared" si="6"/>
        <v>25464.047214327053</v>
      </c>
      <c r="O16" s="146">
        <f t="shared" si="7"/>
        <v>6.5198703869520092E-3</v>
      </c>
      <c r="P16" s="147">
        <f t="shared" si="8"/>
        <v>0.89134321236388936</v>
      </c>
      <c r="Q16" s="148">
        <f t="shared" si="4"/>
        <v>1</v>
      </c>
      <c r="R16" s="37">
        <f>IF(M16=Year_Open_to_Traffic?,Calculations!$J$5,Calculations!R15+(Calculations!R15*Calculations!O16*Q16))</f>
        <v>2133441.3378929235</v>
      </c>
      <c r="S16" s="54">
        <f t="shared" si="0"/>
        <v>1</v>
      </c>
      <c r="T16" s="37">
        <f t="shared" si="5"/>
        <v>2133.4413378929235</v>
      </c>
      <c r="U16" s="142">
        <f>T16/(1+Real_Discount_Rate)^(Calculations!M16-'Assumed Values'!$C$5)</f>
        <v>947.27346836301251</v>
      </c>
    </row>
    <row r="17" spans="1:21" ht="15.75" x14ac:dyDescent="0.25">
      <c r="A17" s="152" t="s">
        <v>109</v>
      </c>
      <c r="B17" s="153">
        <f>(B14/B12)^(1/(2045-2018))-1</f>
        <v>5.2949315394319463E-3</v>
      </c>
      <c r="D17" s="152" t="s">
        <v>89</v>
      </c>
      <c r="E17" s="158">
        <f>($E$6*Death_Rate)/100000000</f>
        <v>0.10348153752671053</v>
      </c>
      <c r="L17" s="136"/>
      <c r="M17" s="144">
        <f t="shared" si="1"/>
        <v>2031</v>
      </c>
      <c r="N17" s="145">
        <f t="shared" si="6"/>
        <v>25630.069501691691</v>
      </c>
      <c r="O17" s="146">
        <f t="shared" si="7"/>
        <v>6.5198703869520092E-3</v>
      </c>
      <c r="P17" s="147">
        <f t="shared" si="8"/>
        <v>0.8971546545787914</v>
      </c>
      <c r="Q17" s="148">
        <f t="shared" si="4"/>
        <v>1</v>
      </c>
      <c r="R17" s="37">
        <f>IF(M17=Year_Open_to_Traffic?,Calculations!$J$5,Calculations!R16+(Calculations!R16*Calculations!O17*Q17))</f>
        <v>2147351.0988941509</v>
      </c>
      <c r="S17" s="54">
        <f t="shared" si="0"/>
        <v>1</v>
      </c>
      <c r="T17" s="37">
        <f t="shared" si="5"/>
        <v>2147.3510988941507</v>
      </c>
      <c r="U17" s="142">
        <f>T17/(1+Real_Discount_Rate)^(Calculations!M17-'Assumed Values'!$C$5)</f>
        <v>891.0743631754558</v>
      </c>
    </row>
    <row r="18" spans="1:21" ht="15.75" x14ac:dyDescent="0.25">
      <c r="D18" s="152" t="s">
        <v>94</v>
      </c>
      <c r="E18" s="158">
        <f>($E$6*Incap_Injry_Rate)/100000000</f>
        <v>0.52308248162695303</v>
      </c>
      <c r="L18" s="136"/>
      <c r="M18" s="137">
        <f t="shared" si="1"/>
        <v>2032</v>
      </c>
      <c r="N18" s="145">
        <f t="shared" si="6"/>
        <v>25797.174232851292</v>
      </c>
      <c r="O18" s="146">
        <f t="shared" si="7"/>
        <v>6.5198703869520092E-3</v>
      </c>
      <c r="P18" s="147">
        <f t="shared" si="8"/>
        <v>0.90300398664369586</v>
      </c>
      <c r="Q18" s="148">
        <f t="shared" si="4"/>
        <v>1</v>
      </c>
      <c r="R18" s="37">
        <f>IF(M18=Year_Open_to_Traffic?,Calculations!$J$5,Calculations!R17+(Calculations!R17*Calculations!O18*Q18))</f>
        <v>2161351.5497342199</v>
      </c>
      <c r="S18" s="54">
        <f t="shared" si="0"/>
        <v>1</v>
      </c>
      <c r="T18" s="37">
        <f t="shared" si="5"/>
        <v>2161.35154973422</v>
      </c>
      <c r="U18" s="142">
        <f>T18/(1+Real_Discount_Rate)^(Calculations!M18-'Assumed Values'!$C$5)</f>
        <v>838.20939488644467</v>
      </c>
    </row>
    <row r="19" spans="1:21" ht="15.75" x14ac:dyDescent="0.25">
      <c r="D19" s="152" t="s">
        <v>93</v>
      </c>
      <c r="E19" s="158">
        <f>($E$6*Nonincap_Injry_Rate)/100000000</f>
        <v>2.951226687979509</v>
      </c>
      <c r="L19" s="136"/>
      <c r="M19" s="144">
        <f t="shared" si="1"/>
        <v>2033</v>
      </c>
      <c r="N19" s="145">
        <f t="shared" si="6"/>
        <v>25965.368465199099</v>
      </c>
      <c r="O19" s="146">
        <f t="shared" si="7"/>
        <v>6.5198703869520092E-3</v>
      </c>
      <c r="P19" s="147">
        <f t="shared" si="8"/>
        <v>0.90889145559551365</v>
      </c>
      <c r="Q19" s="148">
        <f t="shared" si="4"/>
        <v>1</v>
      </c>
      <c r="R19" s="37">
        <f>IF(M19=Year_Open_to_Traffic?,Calculations!$J$5,Calculations!R18+(Calculations!R18*Calculations!O19*Q19))</f>
        <v>2175443.2816991247</v>
      </c>
      <c r="S19" s="54">
        <f t="shared" si="0"/>
        <v>1</v>
      </c>
      <c r="T19" s="37">
        <f t="shared" si="5"/>
        <v>2175.4432816991248</v>
      </c>
      <c r="U19" s="142">
        <f>T19/(1+Real_Discount_Rate)^(Calculations!M19-'Assumed Values'!$C$5)</f>
        <v>788.48075840956039</v>
      </c>
    </row>
    <row r="20" spans="1:21" ht="15.75" x14ac:dyDescent="0.25">
      <c r="D20" s="152" t="s">
        <v>92</v>
      </c>
      <c r="E20" s="158">
        <f>($E$6*Poss_Injry_Rate/100000000)</f>
        <v>7.3675516604904141</v>
      </c>
      <c r="L20" s="136"/>
      <c r="M20" s="137">
        <f t="shared" si="1"/>
        <v>2034</v>
      </c>
      <c r="N20" s="145">
        <f t="shared" si="6"/>
        <v>26134.659302141648</v>
      </c>
      <c r="O20" s="146">
        <f t="shared" si="7"/>
        <v>6.5198703869520092E-3</v>
      </c>
      <c r="P20" s="147">
        <f t="shared" si="8"/>
        <v>0.91481731008180456</v>
      </c>
      <c r="Q20" s="148">
        <f t="shared" si="4"/>
        <v>1</v>
      </c>
      <c r="R20" s="37">
        <f>IF(M20=Year_Open_to_Traffic?,Calculations!$J$5,Calculations!R19+(Calculations!R19*Calculations!O20*Q20))</f>
        <v>2189626.8899299684</v>
      </c>
      <c r="S20" s="54">
        <f t="shared" si="0"/>
        <v>1</v>
      </c>
      <c r="T20" s="37">
        <f t="shared" si="5"/>
        <v>2189.6268899299685</v>
      </c>
      <c r="U20" s="142">
        <f>T20/(1+Real_Discount_Rate)^(Calculations!M20-'Assumed Values'!$C$5)</f>
        <v>741.70238388504333</v>
      </c>
    </row>
    <row r="21" spans="1:21" ht="15.75" x14ac:dyDescent="0.25">
      <c r="D21" s="152" t="s">
        <v>91</v>
      </c>
      <c r="E21" s="158">
        <f>($E$6*Non_Injry_Rate)/100000000</f>
        <v>57.127817320148992</v>
      </c>
      <c r="L21" s="136"/>
      <c r="M21" s="144">
        <f>M20+1</f>
        <v>2035</v>
      </c>
      <c r="N21" s="145">
        <f t="shared" si="6"/>
        <v>26305.053893398763</v>
      </c>
      <c r="O21" s="146">
        <f t="shared" si="7"/>
        <v>6.5198703869520092E-3</v>
      </c>
      <c r="P21" s="147">
        <f>P20*(1+IFERROR(_2025_2040_V_C_Growth,_2018_2045_V_C_Growth))</f>
        <v>0.92078180037127799</v>
      </c>
      <c r="Q21" s="148">
        <f t="shared" si="4"/>
        <v>1</v>
      </c>
      <c r="R21" s="37">
        <f>IF(M21=Year_Open_to_Traffic?,Calculations!$J$5,Calculations!R20+(Calculations!R20*Calculations!O21*Q21))</f>
        <v>2203902.9734480968</v>
      </c>
      <c r="S21" s="54">
        <f t="shared" si="0"/>
        <v>1</v>
      </c>
      <c r="T21" s="37">
        <f t="shared" si="5"/>
        <v>2203.9029734480969</v>
      </c>
      <c r="U21" s="142">
        <f>T21/(1+Real_Discount_Rate)^(Calculations!M21-'Assumed Values'!$C$5)</f>
        <v>697.69924046137123</v>
      </c>
    </row>
    <row r="22" spans="1:21" ht="15.75" x14ac:dyDescent="0.25">
      <c r="D22" s="152" t="s">
        <v>90</v>
      </c>
      <c r="E22" s="158">
        <f>($E$6*Unkn_Injry_Rate)/100000000</f>
        <v>4.9570994589408111</v>
      </c>
      <c r="L22" s="136"/>
      <c r="M22" s="137">
        <f>M21+1</f>
        <v>2036</v>
      </c>
      <c r="N22" s="145">
        <f t="shared" si="6"/>
        <v>26476.559435305509</v>
      </c>
      <c r="O22" s="146">
        <f t="shared" si="7"/>
        <v>6.5198703869520092E-3</v>
      </c>
      <c r="P22" s="147">
        <f t="shared" si="8"/>
        <v>0.92678517836436303</v>
      </c>
      <c r="Q22" s="148">
        <f t="shared" si="4"/>
        <v>1</v>
      </c>
      <c r="R22" s="37">
        <f>IF(M22=Year_Open_to_Traffic?,Calculations!$J$5,Calculations!R21+(Calculations!R21*Calculations!O22*Q22))</f>
        <v>2218272.1351803965</v>
      </c>
      <c r="S22" s="54">
        <f t="shared" si="0"/>
        <v>1</v>
      </c>
      <c r="T22" s="37">
        <f t="shared" si="5"/>
        <v>2218.2721351803966</v>
      </c>
      <c r="U22" s="142">
        <f>T22/(1+Real_Discount_Rate)^(Calculations!M22-'Assumed Values'!$C$5)</f>
        <v>656.30668138154601</v>
      </c>
    </row>
    <row r="23" spans="1:21" ht="15.75" x14ac:dyDescent="0.25">
      <c r="L23" s="136"/>
      <c r="M23" s="144">
        <f t="shared" si="1"/>
        <v>2037</v>
      </c>
      <c r="N23" s="145">
        <f t="shared" si="6"/>
        <v>26649.183171116132</v>
      </c>
      <c r="O23" s="146">
        <f t="shared" si="7"/>
        <v>6.5198703869520092E-3</v>
      </c>
      <c r="P23" s="147">
        <f t="shared" si="8"/>
        <v>0.93282769760384687</v>
      </c>
      <c r="Q23" s="148">
        <f t="shared" si="4"/>
        <v>1</v>
      </c>
      <c r="R23" s="37">
        <f>IF(M23=Year_Open_to_Traffic?,Calculations!$J$5,Calculations!R22+(Calculations!R22*Calculations!O23*Q23))</f>
        <v>2232734.9819847601</v>
      </c>
      <c r="S23" s="54">
        <f t="shared" si="0"/>
        <v>0</v>
      </c>
      <c r="T23" s="37">
        <f t="shared" si="5"/>
        <v>0</v>
      </c>
      <c r="U23" s="142">
        <f>T23/(1+Real_Discount_Rate)^(Calculations!M23-'Assumed Values'!$C$5)</f>
        <v>0</v>
      </c>
    </row>
    <row r="24" spans="1:21" ht="15.75" x14ac:dyDescent="0.25">
      <c r="L24" s="136"/>
      <c r="M24" s="137">
        <f t="shared" si="1"/>
        <v>2038</v>
      </c>
      <c r="N24" s="145">
        <f t="shared" si="6"/>
        <v>26822.932391309951</v>
      </c>
      <c r="O24" s="146">
        <f t="shared" si="7"/>
        <v>6.5198703869520092E-3</v>
      </c>
      <c r="P24" s="147">
        <f t="shared" si="8"/>
        <v>0.93890961328558287</v>
      </c>
      <c r="Q24" s="148">
        <f t="shared" si="4"/>
        <v>1</v>
      </c>
      <c r="R24" s="37">
        <f>IF(M24=Year_Open_to_Traffic?,Calculations!$J$5,Calculations!R23+(Calculations!R23*Calculations!O24*Q24))</f>
        <v>2247292.1246757144</v>
      </c>
      <c r="S24" s="54">
        <f t="shared" si="0"/>
        <v>0</v>
      </c>
      <c r="T24" s="37">
        <f t="shared" si="5"/>
        <v>0</v>
      </c>
      <c r="U24" s="142">
        <f>T24/(1+Real_Discount_Rate)^(Calculations!M24-'Assumed Values'!$C$5)</f>
        <v>0</v>
      </c>
    </row>
    <row r="25" spans="1:21" ht="15.75" x14ac:dyDescent="0.25">
      <c r="A25" s="183" t="s">
        <v>99</v>
      </c>
      <c r="B25" s="183"/>
      <c r="D25" s="159" t="s">
        <v>89</v>
      </c>
      <c r="E25" s="159" t="s">
        <v>94</v>
      </c>
      <c r="F25" s="159" t="s">
        <v>93</v>
      </c>
      <c r="G25" s="159" t="s">
        <v>92</v>
      </c>
      <c r="H25" s="159" t="s">
        <v>91</v>
      </c>
      <c r="I25" s="159" t="s">
        <v>90</v>
      </c>
      <c r="J25" s="184" t="s">
        <v>100</v>
      </c>
      <c r="L25" s="136"/>
      <c r="M25" s="144">
        <f t="shared" si="1"/>
        <v>2039</v>
      </c>
      <c r="N25" s="145">
        <f t="shared" si="6"/>
        <v>26997.814433899268</v>
      </c>
      <c r="O25" s="146">
        <f t="shared" si="7"/>
        <v>6.5198703869520092E-3</v>
      </c>
      <c r="P25" s="147">
        <f t="shared" si="8"/>
        <v>0.94503118226926808</v>
      </c>
      <c r="Q25" s="148">
        <f t="shared" si="4"/>
        <v>1</v>
      </c>
      <c r="R25" s="37">
        <f>IF(M25=Year_Open_to_Traffic?,Calculations!$J$5,Calculations!R24+(Calculations!R24*Calculations!O25*Q25))</f>
        <v>2261944.1780502182</v>
      </c>
      <c r="S25" s="54">
        <f t="shared" si="0"/>
        <v>0</v>
      </c>
      <c r="T25" s="37">
        <f t="shared" si="5"/>
        <v>0</v>
      </c>
      <c r="U25" s="142">
        <f>T25/(1+Real_Discount_Rate)^(Calculations!M25-'Assumed Values'!$C$5)</f>
        <v>0</v>
      </c>
    </row>
    <row r="26" spans="1:21" ht="15.75" x14ac:dyDescent="0.25">
      <c r="A26" s="183"/>
      <c r="B26" s="183"/>
      <c r="D26" s="160">
        <f>Calculations!E17</f>
        <v>0.10348153752671053</v>
      </c>
      <c r="E26" s="160">
        <f>Calculations!E18</f>
        <v>0.52308248162695303</v>
      </c>
      <c r="F26" s="160">
        <f>Calculations!E19</f>
        <v>2.951226687979509</v>
      </c>
      <c r="G26" s="160">
        <f>Calculations!E20</f>
        <v>7.3675516604904141</v>
      </c>
      <c r="H26" s="160">
        <f>Calculations!E21</f>
        <v>57.127817320148992</v>
      </c>
      <c r="I26" s="160">
        <f>Calculations!E22</f>
        <v>4.9570994589408111</v>
      </c>
      <c r="J26" s="184"/>
      <c r="L26" s="136"/>
      <c r="M26" s="137">
        <f t="shared" si="1"/>
        <v>2040</v>
      </c>
      <c r="N26" s="145">
        <f t="shared" si="6"/>
        <v>27173.836684739272</v>
      </c>
      <c r="O26" s="146">
        <f t="shared" si="7"/>
        <v>6.5198703869520092E-3</v>
      </c>
      <c r="P26" s="147">
        <f t="shared" si="8"/>
        <v>0.95119266308929173</v>
      </c>
      <c r="Q26" s="148">
        <f t="shared" si="4"/>
        <v>1</v>
      </c>
      <c r="R26" s="37">
        <f>IF(M26=Year_Open_to_Traffic?,Calculations!$J$5,Calculations!R25+(Calculations!R25*Calculations!O26*Q26))</f>
        <v>2276691.7609136263</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1.1685924180786943E-2</v>
      </c>
      <c r="F27" s="163">
        <f>F$26*'Value of Statistical Life'!F17*Appropriate_Crash_Reduction_Factor</f>
        <v>0.16012027956967226</v>
      </c>
      <c r="G27" s="163">
        <f>G$26*'Value of Statistical Life'!G17*Appropriate_Crash_Reduction_Factor</f>
        <v>1.12237650373494</v>
      </c>
      <c r="H27" s="163">
        <f>H$26*'Value of Statistical Life'!H17*Appropriate_Crash_Reduction_Factor</f>
        <v>34.360725411367341</v>
      </c>
      <c r="I27" s="163">
        <f>I$26*'Value of Statistical Life'!I17*Appropriate_Crash_Reduction_Factor</f>
        <v>1.4072907937965426</v>
      </c>
      <c r="J27" s="163">
        <f t="shared" ref="J27:J33" si="9">SUM(D27:I27)</f>
        <v>37.062198912649279</v>
      </c>
      <c r="K27" s="164"/>
      <c r="L27" s="136"/>
      <c r="M27" s="144">
        <f t="shared" si="1"/>
        <v>2041</v>
      </c>
      <c r="N27" s="145">
        <f t="shared" si="6"/>
        <v>27351.006577839973</v>
      </c>
      <c r="O27" s="146">
        <f t="shared" si="7"/>
        <v>6.5198703869520092E-3</v>
      </c>
      <c r="P27" s="147">
        <f t="shared" si="8"/>
        <v>0.95739431596565361</v>
      </c>
      <c r="Q27" s="148">
        <f t="shared" si="4"/>
        <v>1</v>
      </c>
      <c r="R27" s="37">
        <f>IF(M27=Year_Open_to_Traffic?,Calculations!$J$5,Calculations!R26+(Calculations!R26*Calculations!O27*Q27))</f>
        <v>2291535.4961058246</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0.188528603404264</v>
      </c>
      <c r="F28" s="163">
        <f>F$26*'Value of Statistical Life'!F18*Appropriate_Crash_Reduction_Factor</f>
        <v>1.4740772304986611</v>
      </c>
      <c r="G28" s="163">
        <f>G$26*'Value of Statistical Life'!G18*Appropriate_Crash_Reduction_Factor</f>
        <v>3.3017609090971183</v>
      </c>
      <c r="H28" s="163">
        <f>H$26*'Value of Statistical Life'!H18*Appropriate_Crash_Reduction_Factor</f>
        <v>2.6947477069000878</v>
      </c>
      <c r="I28" s="163">
        <f>I$26*'Value of Statistical Life'!I18*Appropriate_Crash_Reduction_Factor</f>
        <v>1.3448784330587484</v>
      </c>
      <c r="J28" s="163">
        <f t="shared" si="9"/>
        <v>9.0039928829588796</v>
      </c>
      <c r="K28" s="164"/>
      <c r="L28" s="136"/>
      <c r="M28" s="137">
        <f t="shared" si="1"/>
        <v>2042</v>
      </c>
      <c r="N28" s="145">
        <f t="shared" si="6"/>
        <v>27529.33159568016</v>
      </c>
      <c r="O28" s="146">
        <f t="shared" si="7"/>
        <v>6.5198703869520092E-3</v>
      </c>
      <c r="P28" s="147">
        <f t="shared" si="8"/>
        <v>0.96363640281495422</v>
      </c>
      <c r="Q28" s="148">
        <f t="shared" si="4"/>
        <v>1</v>
      </c>
      <c r="R28" s="37">
        <f>IF(M28=Year_Open_to_Traffic?,Calculations!$J$5,Calculations!R27+(Calculations!R27*Calculations!O28*Q28))</f>
        <v>2306476.0105275344</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7.1087955418066173E-2</v>
      </c>
      <c r="F29" s="163">
        <f>F$26*'Value of Statistical Life'!F19*Appropriate_Crash_Reduction_Factor</f>
        <v>0.20905604489640447</v>
      </c>
      <c r="G29" s="163">
        <f>G$26*'Value of Statistical Life'!G19*Appropriate_Crash_Reduction_Factor</f>
        <v>0.30605914730426254</v>
      </c>
      <c r="H29" s="163">
        <f>H$26*'Value of Statistical Life'!H19*Appropriate_Crash_Reduction_Factor</f>
        <v>7.3523500891031754E-2</v>
      </c>
      <c r="I29" s="163">
        <f>I$26*'Value of Statistical Life'!I19*Appropriate_Crash_Reduction_Factor</f>
        <v>0.28586601159819869</v>
      </c>
      <c r="J29" s="163">
        <f t="shared" si="9"/>
        <v>0.94559266010796361</v>
      </c>
      <c r="K29" s="164"/>
      <c r="L29" s="136"/>
      <c r="M29" s="144">
        <f t="shared" si="1"/>
        <v>2043</v>
      </c>
      <c r="N29" s="145">
        <f t="shared" si="6"/>
        <v>27708.819269523417</v>
      </c>
      <c r="O29" s="146">
        <f t="shared" si="7"/>
        <v>6.5198703869520092E-3</v>
      </c>
      <c r="P29" s="147">
        <f t="shared" si="8"/>
        <v>0.96991918726145643</v>
      </c>
      <c r="Q29" s="148">
        <f t="shared" si="4"/>
        <v>1</v>
      </c>
      <c r="R29" s="37">
        <f>IF(M29=Year_Open_to_Traffic?,Calculations!$J$5,Calculations!R28+(Calculations!R28*Calculations!O29*Q29))</f>
        <v>2321513.9351667883</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4.9086321617114091E-2</v>
      </c>
      <c r="F30" s="163">
        <f>F$26*'Value of Statistical Life'!F20*Appropriate_Crash_Reduction_Factor</f>
        <v>6.1212868348726988E-2</v>
      </c>
      <c r="G30" s="163">
        <f>G$26*'Value of Statistical Life'!G20*Appropriate_Crash_Reduction_Factor</f>
        <v>5.1289210884504027E-2</v>
      </c>
      <c r="H30" s="163">
        <f>H$26*'Value of Statistical Life'!H20*Appropriate_Crash_Reduction_Factor</f>
        <v>2.970646500647748E-3</v>
      </c>
      <c r="I30" s="163">
        <f>I$26*'Value of Statistical Life'!I20*Appropriate_Crash_Reduction_Factor</f>
        <v>0.15520926260916626</v>
      </c>
      <c r="J30" s="163">
        <f t="shared" si="9"/>
        <v>0.31976830996015909</v>
      </c>
      <c r="K30" s="164"/>
      <c r="L30" s="136"/>
      <c r="M30" s="144">
        <f t="shared" si="1"/>
        <v>2044</v>
      </c>
      <c r="N30" s="145">
        <f t="shared" si="6"/>
        <v>27889.47717973619</v>
      </c>
      <c r="O30" s="146">
        <f t="shared" si="7"/>
        <v>6.5198703869520092E-3</v>
      </c>
      <c r="P30" s="147">
        <f t="shared" si="8"/>
        <v>0.97624293464821899</v>
      </c>
      <c r="Q30" s="148">
        <f t="shared" si="4"/>
        <v>1</v>
      </c>
      <c r="R30" s="37">
        <f>IF(M30=Year_Open_to_Traffic?,Calculations!$J$5,Calculations!R29+(Calculations!R29*Calculations!O30*Q30))</f>
        <v>2336649.9051255789</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1.3552544016472727E-2</v>
      </c>
      <c r="F31" s="163">
        <f>F$26*'Value of Statistical Life'!F21*Appropriate_Crash_Reduction_Factor</f>
        <v>1.1893443552557422E-2</v>
      </c>
      <c r="G31" s="163">
        <f>G$26*'Value of Statistical Life'!G21*Appropriate_Crash_Reduction_Factor</f>
        <v>6.8002501826326519E-3</v>
      </c>
      <c r="H31" s="163">
        <f>H$26*'Value of Statistical Life'!H21*Appropriate_Crash_Reduction_Factor</f>
        <v>0</v>
      </c>
      <c r="I31" s="163">
        <f>I$26*'Value of Statistical Life'!I21*Appropriate_Crash_Reduction_Factor</f>
        <v>1.9880447380082125E-2</v>
      </c>
      <c r="J31" s="163">
        <f t="shared" si="9"/>
        <v>5.2126685131744926E-2</v>
      </c>
      <c r="K31" s="164"/>
      <c r="L31" s="136"/>
      <c r="M31" s="144">
        <f t="shared" si="1"/>
        <v>2045</v>
      </c>
      <c r="N31" s="145">
        <f t="shared" si="6"/>
        <v>28071.312956107926</v>
      </c>
      <c r="O31" s="146">
        <f t="shared" si="7"/>
        <v>6.5198703869520092E-3</v>
      </c>
      <c r="P31" s="147">
        <f t="shared" si="8"/>
        <v>0.982607912048303</v>
      </c>
      <c r="Q31" s="148">
        <f t="shared" si="4"/>
        <v>1</v>
      </c>
      <c r="R31" s="37">
        <f>IF(M31=Year_Open_to_Traffic?,Calculations!$J$5,Calculations!R30+(Calculations!R30*Calculations!O31*Q31))</f>
        <v>2351884.5596466814</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6.062264420815572E-3</v>
      </c>
      <c r="F32" s="163">
        <f>F$26*'Value of Statistical Life'!F22*Appropriate_Crash_Reduction_Factor</f>
        <v>1.9374803206585478E-3</v>
      </c>
      <c r="G32" s="163">
        <f>G$26*'Value of Statistical Life'!G22*Appropriate_Crash_Reduction_Factor</f>
        <v>6.2255811531144003E-4</v>
      </c>
      <c r="H32" s="163">
        <f>H$26*'Value of Statistical Life'!H22*Appropriate_Crash_Reduction_Factor</f>
        <v>1.1139924377429054E-3</v>
      </c>
      <c r="I32" s="163">
        <f>I$26*'Value of Statistical Life'!I22*Appropriate_Crash_Reduction_Factor</f>
        <v>8.9896998687891607E-3</v>
      </c>
      <c r="J32" s="163">
        <f t="shared" si="9"/>
        <v>1.8725995163317626E-2</v>
      </c>
      <c r="K32" s="164"/>
      <c r="L32" s="136"/>
      <c r="M32" s="144">
        <f t="shared" si="1"/>
        <v>2046</v>
      </c>
      <c r="N32" s="145">
        <f t="shared" si="6"/>
        <v>28254.334278173315</v>
      </c>
      <c r="O32" s="146">
        <f t="shared" si="7"/>
        <v>6.5198703869520092E-3</v>
      </c>
      <c r="P32" s="147">
        <f t="shared" si="8"/>
        <v>0.98901438827605148</v>
      </c>
      <c r="Q32" s="148">
        <f t="shared" si="4"/>
        <v>1</v>
      </c>
      <c r="R32" s="37">
        <f>IF(M32=Year_Open_to_Traffic?,Calculations!$J$5,Calculations!R31+(Calculations!R31*Calculations!O32*Q32))</f>
        <v>2367218.5421406515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6.7262999392361855E-2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6.7262999392361855E-2</v>
      </c>
      <c r="K33" s="164"/>
      <c r="L33" s="136"/>
      <c r="M33" s="144">
        <f t="shared" si="1"/>
        <v>2047</v>
      </c>
      <c r="N33" s="145">
        <f t="shared" si="6"/>
        <v>28438.54887553662</v>
      </c>
      <c r="O33" s="146">
        <f t="shared" si="7"/>
        <v>6.5198703869520092E-3</v>
      </c>
      <c r="P33" s="147">
        <f t="shared" si="8"/>
        <v>0.99546263389844192</v>
      </c>
      <c r="Q33" s="148">
        <f t="shared" si="4"/>
        <v>1</v>
      </c>
      <c r="R33" s="37">
        <f>IF(M33=Year_Open_to_Traffic?,Calculations!$J$5,Calculations!R32+(Calculations!R32*Calculations!O33*Q33))</f>
        <v>2382652.5002129981</v>
      </c>
      <c r="S33" s="54">
        <f t="shared" si="0"/>
        <v>0</v>
      </c>
      <c r="T33" s="37">
        <f t="shared" si="5"/>
        <v>0</v>
      </c>
      <c r="U33" s="142">
        <f>T33/(1+Real_Discount_Rate)^(Calculations!M33-'Assumed Values'!$C$5)</f>
        <v>0</v>
      </c>
    </row>
    <row r="34" spans="1:21" ht="15.75" x14ac:dyDescent="0.25">
      <c r="J34" s="166"/>
      <c r="L34" s="136"/>
      <c r="M34" s="144">
        <f t="shared" si="1"/>
        <v>2048</v>
      </c>
      <c r="N34" s="145">
        <f t="shared" si="6"/>
        <v>28623.964528198117</v>
      </c>
      <c r="O34" s="146">
        <f t="shared" si="7"/>
        <v>6.5198703869520092E-3</v>
      </c>
      <c r="P34" s="147">
        <f t="shared" si="8"/>
        <v>1.0019529212465137</v>
      </c>
      <c r="Q34" s="148">
        <f t="shared" si="4"/>
        <v>0</v>
      </c>
      <c r="R34" s="37">
        <f>IF(M34=Year_Open_to_Traffic?,Calculations!$J$5,Calculations!R33+(Calculations!R33*Calculations!O34*Q34))</f>
        <v>2382652.5002129981</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28810.58906688268</v>
      </c>
      <c r="O35" s="146">
        <f t="shared" si="7"/>
        <v>6.5198703869520092E-3</v>
      </c>
      <c r="P35" s="147">
        <f t="shared" si="8"/>
        <v>1.0084855244268689</v>
      </c>
      <c r="Q35" s="148">
        <f t="shared" si="4"/>
        <v>0</v>
      </c>
      <c r="R35" s="37">
        <f>IF(M35=Year_Open_to_Traffic?,Calculations!$J$5,Calculations!R34+(Calculations!R34*Calculations!O35*Q35))</f>
        <v>2382652.5002129981</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28998.430373370491</v>
      </c>
      <c r="O36" s="146">
        <f t="shared" si="7"/>
        <v>6.5198703869520092E-3</v>
      </c>
      <c r="P36" s="147">
        <f t="shared" si="8"/>
        <v>1.0150607193332495</v>
      </c>
      <c r="Q36" s="148">
        <f t="shared" si="4"/>
        <v>0</v>
      </c>
      <c r="R36" s="37">
        <f>IF(M36=Year_Open_to_Traffic?,Calculations!$J$5,Calculations!R35+(Calculations!R35*Calculations!O36*Q36))</f>
        <v>2382652.5002129981</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15680.204337513071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7" t="s">
        <v>73</v>
      </c>
      <c r="C12" s="188"/>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9"/>
      <c r="T12" s="189"/>
      <c r="U12" s="189"/>
      <c r="V12" s="189"/>
      <c r="W12" s="189"/>
      <c r="X12" s="189"/>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9"/>
      <c r="T26" s="189"/>
      <c r="U26" s="189"/>
      <c r="V26" s="189"/>
      <c r="W26" s="189"/>
      <c r="X26" s="189"/>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90" t="s">
        <v>97</v>
      </c>
      <c r="C24" s="190"/>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2018-10-24T21:33:38Z</dcterms:modified>
</cp:coreProperties>
</file>