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6_IH10/"/>
    </mc:Choice>
  </mc:AlternateContent>
  <xr:revisionPtr revIDLastSave="11" documentId="8_{B4181F61-BE22-4B2E-873A-17E87B98C9F2}" xr6:coauthVersionLast="40" xr6:coauthVersionMax="40" xr10:uidLastSave="{98E72159-963D-49C5-9ABB-C1726E63F7F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7" i="12"/>
  <c r="D26" i="12"/>
  <c r="E19" i="12"/>
  <c r="F26" i="12"/>
  <c r="E21" i="12"/>
  <c r="H26" i="12"/>
  <c r="E18" i="12"/>
  <c r="E26" i="12"/>
  <c r="E20" i="12"/>
  <c r="G26" i="12"/>
  <c r="E22" i="12"/>
  <c r="I26" i="12"/>
  <c r="S36" i="12"/>
  <c r="P36" i="12"/>
  <c r="Q36" i="12"/>
  <c r="I31" i="12"/>
  <c r="I27" i="12"/>
  <c r="I32" i="12"/>
  <c r="I28" i="12"/>
  <c r="I30" i="12"/>
  <c r="I29" i="12"/>
  <c r="I33" i="12"/>
  <c r="E28" i="12"/>
  <c r="E33" i="12"/>
  <c r="E30" i="12"/>
  <c r="E32" i="12"/>
  <c r="E29" i="12"/>
  <c r="E31" i="12"/>
  <c r="E27" i="12"/>
  <c r="G27" i="12"/>
  <c r="G30" i="12"/>
  <c r="G31" i="12"/>
  <c r="G28" i="12"/>
  <c r="G29" i="12"/>
  <c r="G32" i="12"/>
  <c r="G33" i="12"/>
  <c r="H31" i="12"/>
  <c r="H32" i="12"/>
  <c r="H27" i="12"/>
  <c r="H28" i="12"/>
  <c r="H29" i="12"/>
  <c r="H30" i="12"/>
  <c r="H33" i="12"/>
  <c r="F28" i="12"/>
  <c r="F29" i="12"/>
  <c r="F30" i="12"/>
  <c r="F31" i="12"/>
  <c r="F32" i="12"/>
  <c r="F33" i="12"/>
  <c r="F27" i="12"/>
  <c r="D27" i="12"/>
  <c r="J27" i="12"/>
  <c r="D28" i="12"/>
  <c r="J28" i="12"/>
  <c r="D29" i="12"/>
  <c r="J29" i="12"/>
  <c r="D30" i="12"/>
  <c r="J30" i="12"/>
  <c r="D31" i="12"/>
  <c r="J31" i="12"/>
  <c r="D32" i="12"/>
  <c r="J32" i="12"/>
  <c r="D33" i="12"/>
  <c r="J33"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<sst xmlns="http://schemas.openxmlformats.org/spreadsheetml/2006/main" count="441" uniqueCount="286">
  <si>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</si>
  <si>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</si>
  <si>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</si>
  <si>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</si>
  <si>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</si>
  <si>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</si>
  <si>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</si>
  <si>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</si>
  <si>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</si>
  <si>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</si>
  <si>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</si>
  <si>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</si>
  <si>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</si>
  <si>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</si>
  <si>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</si>
  <si>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</si>
  <si>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</si>
  <si>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</si>
  <si>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</si>
  <si>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</si>
  <si>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</si>
  <si>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</si>
  <si>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</si>
  <si>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</si>
  <si>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</si>
  <si>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</si>
  <si>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</si>
  <si>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</si>
  <si>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</si>
  <si>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</si>
  <si>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</si>
  <si>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</si>
  <si>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</si>
  <si>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</si>
  <si>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</si>
  <si>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</si>
  <si>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</si>
  <si>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</si>
  <si>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</si>
  <si>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</si>
  <si>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</si>
  <si>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</si>
  <si>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</si>
  <si>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</si>
  <si>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</si>
  <si>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</si>
  <si>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</si>
  <si>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</si>
  <si>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10/FM 1409 Overpass</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</si>
  <si>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</si>
  <si>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</si>
  <si>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</si>
  <si>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</si>
  <si>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</si>
  <si>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</si>
  <si>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</si>
  <si>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</si>
  <si>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</si>
  <si>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</si>
  <si>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FM 1409</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</si>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</sst>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4">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2" t="s">
        <v>3</v>
      </c>
      <c r="H3" s="132"/>
      <c r="I3" s="132" t="s">
        <v>4</v>
      </c>
      <c r="J3" s="132"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3" t="s">
        <v>11</v>
      </c>
      <c r="E6" s="134"/>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2" t="s">
        <v>3</v>
      </c>
      <c r="H3" s="132" t="s">
        <v>31</v>
      </c>
      <c r="I3" s="132" t="s">
        <v>32</v>
      </c>
      <c r="J3" s="132" t="s">
        <v>33</v>
      </c>
      <c r="K3" s="132"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3" t="s">
        <v>11</v>
      </c>
      <c r="E6" s="134"/>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3" t="s">
        <v>37</v>
      </c>
      <c r="E8" s="134"/>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131" t="s">
        <v>56</v>
      </c>
      <c r="D9" s="53"/>
      <c r="E9" s="99"/>
      <c r="F9" t="s">
        <v>57</v>
      </c>
    </row>
    <row r="10" spans="2:19">
      <c r="B10" s="3" t="s">
        <v>58</v>
      </c>
      <c r="C10" s="131" t="s">
        <v>59</v>
      </c>
      <c r="D10" s="53"/>
      <c r="E10" s="8"/>
      <c r="F10" t="s">
        <v>60</v>
      </c>
    </row>
    <row r="11" spans="2:19">
      <c r="B11" s="3" t="s">
        <v>61</v>
      </c>
      <c r="C11" s="97" t="s">
        <v>62</v>
      </c>
      <c r="D11" s="53"/>
    </row>
    <row r="12" spans="2:19">
      <c r="B12" s="3" t="s">
        <v>63</v>
      </c>
      <c r="C12" s="97">
        <v>0.99</v>
      </c>
      <c r="D12" s="79"/>
      <c r="N12" s="135"/>
      <c r="O12" s="135"/>
      <c r="P12" s="135"/>
      <c r="Q12" s="135"/>
      <c r="R12" s="135"/>
      <c r="S12" s="135"/>
    </row>
    <row r="13" spans="2:19">
      <c r="B13" s="3" t="s">
        <v>64</v>
      </c>
      <c r="C13" s="97">
        <v>244</v>
      </c>
      <c r="D13" s="53"/>
    </row>
    <row r="14" spans="2:19">
      <c r="B14" s="3" t="s">
        <v>65</v>
      </c>
      <c r="C14" s="97" t="s">
        <v>66</v>
      </c>
      <c r="D14" s="53"/>
      <c r="G14" s="90"/>
    </row>
    <row r="15" spans="2:19">
      <c r="C15" s="53"/>
      <c r="D15" s="53"/>
    </row>
    <row r="16" spans="2:19">
      <c r="B16" s="5" t="s">
        <v>67</v>
      </c>
    </row>
    <row r="17" spans="2:13">
      <c r="B17" s="3" t="s">
        <v>68</v>
      </c>
      <c r="C17" s="97">
        <v>2024</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69462</v>
      </c>
      <c r="D25" s="82"/>
      <c r="I25" s="41"/>
    </row>
    <row r="26" spans="2:13">
      <c r="I26" s="41"/>
    </row>
    <row r="27" spans="2:13">
      <c r="B27" s="73" t="s">
        <v>76</v>
      </c>
      <c r="C27" s="74">
        <v>30133</v>
      </c>
      <c r="D27" s="82"/>
      <c r="I27" s="41"/>
    </row>
    <row r="28" spans="2:13">
      <c r="B28" s="73" t="s">
        <v>77</v>
      </c>
      <c r="C28" s="74">
        <v>90286</v>
      </c>
      <c r="D28" s="82"/>
      <c r="I28" s="41"/>
    </row>
    <row r="29" spans="2:13">
      <c r="B29" s="73" t="s">
        <v>78</v>
      </c>
      <c r="C29" s="75">
        <v>38889</v>
      </c>
      <c r="D29" s="58"/>
      <c r="I29" s="41"/>
    </row>
    <row r="30" spans="2:13">
      <c r="B30" s="73" t="s">
        <v>79</v>
      </c>
      <c r="C30" s="75">
        <v>90286</v>
      </c>
      <c r="D30" s="58"/>
      <c r="I30" s="41"/>
    </row>
    <row r="31" spans="2:13">
      <c r="B31" s="73" t="s">
        <v>80</v>
      </c>
      <c r="C31" s="74">
        <v>63381</v>
      </c>
      <c r="D31" s="82"/>
      <c r="H31" s="59"/>
    </row>
    <row r="32" spans="2:13">
      <c r="B32" s="73" t="s">
        <v>81</v>
      </c>
      <c r="C32" s="74">
        <v>90286</v>
      </c>
      <c r="D32" s="82"/>
    </row>
    <row r="34" spans="2:9" ht="18.75">
      <c r="B34" s="43" t="s">
        <v>82</v>
      </c>
      <c r="C34" s="44"/>
      <c r="D34" s="44"/>
      <c r="E34" s="44"/>
      <c r="F34" s="44"/>
      <c r="I34" s="59"/>
    </row>
    <row r="36" spans="2:9">
      <c r="B36" s="9" t="s">
        <v>83</v>
      </c>
    </row>
    <row r="37" spans="2:9">
      <c r="B37" s="8" t="s">
        <v>84</v>
      </c>
      <c r="C37" s="34">
        <f>Calculations!U37</f>
        <v>3509.5207727269103</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2" t="s">
        <v>3</v>
      </c>
      <c r="N3" s="132" t="s">
        <v>86</v>
      </c>
      <c r="O3" s="102" t="s">
        <v>87</v>
      </c>
      <c r="P3" s="103" t="s">
        <v>88</v>
      </c>
      <c r="Q3" s="132" t="s">
        <v>89</v>
      </c>
      <c r="R3" s="132" t="s">
        <v>90</v>
      </c>
      <c r="S3" s="132" t="s">
        <v>91</v>
      </c>
      <c r="T3" s="132" t="s">
        <v>92</v>
      </c>
      <c r="U3" s="132" t="s">
        <v>93</v>
      </c>
    </row>
    <row r="4" spans="1:21" ht="15.75">
      <c r="A4" s="13" t="s">
        <v>20</v>
      </c>
      <c r="B4" s="39">
        <v>2018</v>
      </c>
      <c r="D4" s="104" t="s">
        <v>94</v>
      </c>
      <c r="E4" s="105">
        <f>VLOOKUP(Year_Open_to_Traffic?,Calculations!M4:N36,2,Calculations!N4:N36)</f>
        <v>86438.126335447188</v>
      </c>
      <c r="G4" s="138" t="s">
        <v>95</v>
      </c>
      <c r="H4" s="138"/>
      <c r="I4" s="138"/>
      <c r="J4" s="138"/>
      <c r="L4" s="106"/>
      <c r="M4" s="107">
        <v>2018</v>
      </c>
      <c r="N4" s="108">
        <f>_2018_Volume_ADT</f>
        <v>69462</v>
      </c>
      <c r="O4" s="109" t="s">
        <v>96</v>
      </c>
      <c r="P4" s="110">
        <f>MIN(B12,1)</f>
        <v>0.33375052610593003</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85573.745072092715</v>
      </c>
      <c r="G5" s="139" t="s">
        <v>99</v>
      </c>
      <c r="H5" s="139"/>
      <c r="I5" s="139"/>
      <c r="J5" s="111">
        <f>SUMPRODUCT(Possible_Crash_Reductions,'Value of Statistical Life'!E5:E11)</f>
        <v>319916.75244549167</v>
      </c>
      <c r="L5" s="106"/>
      <c r="M5" s="11">
        <f t="shared" ref="M5:M36" si="1">M4+1</f>
        <v>2019</v>
      </c>
      <c r="N5" s="112">
        <f>N4+(N4*O5)</f>
        <v>72039.987223926524</v>
      </c>
      <c r="O5" s="113">
        <f t="shared" ref="O5:O11" si="2">IF(ISERROR(_2025_2045_Demand_Growth),_2018_2045_Demand_Growth,_2018_2025_Demand_Growth)</f>
        <v>3.7113633697943182E-2</v>
      </c>
      <c r="P5" s="114">
        <f t="shared" ref="P5:P11" si="3">P4*(1+IFERROR(_2018_2025_V_C_Growth,_2018_2045_V_C_Growth))</f>
        <v>0.34613722087832133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22249173.718744107</v>
      </c>
      <c r="L6" s="106"/>
      <c r="M6" s="107">
        <f t="shared" si="1"/>
        <v>2020</v>
      </c>
      <c r="N6" s="112">
        <f t="shared" ref="N6:N36" si="6">N5+(N5*O6)</f>
        <v>74713.652921359841</v>
      </c>
      <c r="O6" s="113">
        <f t="shared" si="2"/>
        <v>3.7113633697943182E-2</v>
      </c>
      <c r="P6" s="114">
        <f t="shared" si="3"/>
        <v>0.35898363090322338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77486.548068118456</v>
      </c>
      <c r="O7" s="113">
        <f t="shared" si="2"/>
        <v>3.7113633697943182E-2</v>
      </c>
      <c r="P7" s="114">
        <f t="shared" si="3"/>
        <v>0.37230681788412323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80362.355429636678</v>
      </c>
      <c r="O8" s="113">
        <f t="shared" si="2"/>
        <v>3.7113633697943182E-2</v>
      </c>
      <c r="P8" s="114">
        <f t="shared" si="3"/>
        <v>0.38612447674632144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3.7113633697943182E-2</v>
      </c>
      <c r="D9" s="39" t="s">
        <v>104</v>
      </c>
      <c r="E9" s="119">
        <f>IF('Inputs &amp; Outputs'!$C$8='CRASH RATES'!$D$3, VLOOKUP('Inputs &amp; Outputs'!$C$7,'CRASH RATES'!$C$14:$J$21,3,FALSE), VLOOKUP('Inputs &amp; Outputs'!$C$7,'CRASH RATES'!$C$28:$J$35,3,FALSE))</f>
        <v>0</v>
      </c>
      <c r="F9" s="85"/>
      <c r="L9" s="106"/>
      <c r="M9" s="11">
        <f t="shared" si="1"/>
        <v>2023</v>
      </c>
      <c r="N9" s="112">
        <f t="shared" si="6"/>
        <v>83344.894452156135</v>
      </c>
      <c r="O9" s="113">
        <f t="shared" si="2"/>
        <v>3.7113633697943182E-2</v>
      </c>
      <c r="P9" s="114">
        <f t="shared" si="3"/>
        <v>0.40045495913809442</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2.4723310203722759E-2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86438.126335447188</v>
      </c>
      <c r="O10" s="113">
        <f t="shared" si="2"/>
        <v>3.7113633697943182E-2</v>
      </c>
      <c r="P10" s="114">
        <f t="shared" si="3"/>
        <v>0.41531729780407045</v>
      </c>
      <c r="Q10" s="115">
        <f t="shared" si="4"/>
        <v>1</v>
      </c>
      <c r="R10" s="30">
        <f>IF(M10=Year_Open_to_Traffic?,Calculations!$J$5,Calculations!R9+(Calculations!R9*Calculations!O10*Q10))</f>
        <v>319916.75244549167</v>
      </c>
      <c r="S10" s="45">
        <f t="shared" si="0"/>
        <v>1</v>
      </c>
      <c r="T10" s="30">
        <f t="shared" si="5"/>
        <v>319.91675244549168</v>
      </c>
      <c r="U10" s="31">
        <f>T10/(1+Real_Discount_Rate)^(Calculations!M10-'Assumed Values'!$C$5)</f>
        <v>213.17404026068564</v>
      </c>
    </row>
    <row r="11" spans="1:21" ht="15.75">
      <c r="A11" s="39" t="s">
        <v>107</v>
      </c>
      <c r="B11" s="118">
        <f>(_2045_Peak_Period_Volume/'Inputs &amp; Outputs'!$C$27)^(1/(2045-2018))-1</f>
        <v>2.792133075564518E-2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89646.159293797507</v>
      </c>
      <c r="O11" s="113">
        <f t="shared" si="2"/>
        <v>3.7113633697943182E-2</v>
      </c>
      <c r="P11" s="114">
        <f t="shared" si="3"/>
        <v>0.43073123186319029</v>
      </c>
      <c r="Q11" s="115">
        <f t="shared" si="4"/>
        <v>1</v>
      </c>
      <c r="R11" s="30">
        <f>IF(M11=Year_Open_to_Traffic?,Calculations!$J$5,Calculations!R10+(Calculations!R10*Calculations!O11*Q11))</f>
        <v>331790.02560958924</v>
      </c>
      <c r="S11" s="45">
        <f t="shared" si="0"/>
        <v>1</v>
      </c>
      <c r="T11" s="30">
        <f t="shared" si="5"/>
        <v>331.79002560958924</v>
      </c>
      <c r="U11" s="31">
        <f>T11/(1+Real_Discount_Rate)^(Calculations!M11-'Assumed Values'!$C$5)</f>
        <v>206.62215280825356</v>
      </c>
    </row>
    <row r="12" spans="1:21" ht="15.75">
      <c r="A12" s="39" t="s">
        <v>109</v>
      </c>
      <c r="B12" s="120">
        <f>'Inputs &amp; Outputs'!C27/_2018_Peak_Period_Capacity</f>
        <v>0.33375052610593003</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91862.50909859041</v>
      </c>
      <c r="O12" s="113">
        <f t="shared" ref="O12:O36" si="7">IFERROR(_2025_2045_Demand_Growth,_2018_2045_Demand_Growth)</f>
        <v>2.4723310203722759E-2</v>
      </c>
      <c r="P12" s="114">
        <f t="shared" ref="P12:P36" si="8">P11*(1+IFERROR(_2025_2040_V_C_Growth,_2018_2045_V_C_Growth))</f>
        <v>0.44138033372297558</v>
      </c>
      <c r="Q12" s="115">
        <f t="shared" si="4"/>
        <v>1</v>
      </c>
      <c r="R12" s="30">
        <f>IF(M12=Year_Open_to_Traffic?,Calculations!$J$5,Calculations!R11+(Calculations!R11*Calculations!O12*Q12))</f>
        <v>339992.97333523625</v>
      </c>
      <c r="S12" s="45">
        <f t="shared" si="0"/>
        <v>1</v>
      </c>
      <c r="T12" s="30">
        <f t="shared" si="5"/>
        <v>339.99297333523623</v>
      </c>
      <c r="U12" s="31">
        <f>T12/(1+Real_Discount_Rate)^(Calculations!M12-'Assumed Values'!$C$5)</f>
        <v>197.87900596924584</v>
      </c>
    </row>
    <row r="13" spans="1:21" ht="15.75">
      <c r="A13" s="39" t="s">
        <v>111</v>
      </c>
      <c r="B13" s="120">
        <f>_2025_Peak_Period_Volume/_2025_Peak_Period_Capacity</f>
        <v>0.43073123186319029</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94133.654407127164</v>
      </c>
      <c r="O13" s="113">
        <f t="shared" si="7"/>
        <v>2.4723310203722759E-2</v>
      </c>
      <c r="P13" s="114">
        <f t="shared" si="8"/>
        <v>0.45229271663143139</v>
      </c>
      <c r="Q13" s="115">
        <f t="shared" si="4"/>
        <v>1</v>
      </c>
      <c r="R13" s="30">
        <f>IF(M13=Year_Open_to_Traffic?,Calculations!$J$5,Calculations!R12+(Calculations!R12*Calculations!O13*Q13))</f>
        <v>348398.72508208931</v>
      </c>
      <c r="S13" s="45">
        <f t="shared" si="0"/>
        <v>1</v>
      </c>
      <c r="T13" s="30">
        <f t="shared" si="5"/>
        <v>348.3987250820893</v>
      </c>
      <c r="U13" s="31">
        <f>T13/(1+Real_Discount_Rate)^(Calculations!M13-'Assumed Values'!$C$5)</f>
        <v>189.50582244544651</v>
      </c>
    </row>
    <row r="14" spans="1:21" ht="15.75">
      <c r="A14" s="39" t="s">
        <v>113</v>
      </c>
      <c r="B14" s="120">
        <f>_2045_Peak_Period_Volume/_2045_Peak_Period_Capacity</f>
        <v>0.70200252530846419</v>
      </c>
      <c r="D14" s="39" t="s">
        <v>114</v>
      </c>
      <c r="E14" s="119">
        <f>IF('Inputs &amp; Outputs'!$C$8='CRASH RATES'!$D$3, VLOOKUP('Inputs &amp; Outputs'!$C$7,'CRASH RATES'!$C$14:$J$21,8,FALSE), VLOOKUP('Inputs &amp; Outputs'!$C$7,'CRASH RATES'!$C$28:$J$35,8,FALSE))</f>
        <v>1.4317516877815335</v>
      </c>
      <c r="F14" s="85"/>
      <c r="L14" s="106"/>
      <c r="M14" s="107">
        <f>M13+1</f>
        <v>2028</v>
      </c>
      <c r="N14" s="112">
        <f t="shared" si="6"/>
        <v>96460.949945644606</v>
      </c>
      <c r="O14" s="113">
        <f t="shared" si="7"/>
        <v>2.4723310203722759E-2</v>
      </c>
      <c r="P14" s="114">
        <f>P13*(1+IFERROR(_2025_2040_V_C_Growth,_2018_2045_V_C_Growth))</f>
        <v>0.46347488976759477</v>
      </c>
      <c r="Q14" s="115">
        <f t="shared" si="4"/>
        <v>1</v>
      </c>
      <c r="R14" s="30">
        <f>IF(M14=Year_Open_to_Traffic?,Calculations!$J$5,Calculations!R13+(Calculations!R13*Calculations!O14*Q14))</f>
        <v>357012.29483687534</v>
      </c>
      <c r="S14" s="45">
        <f t="shared" si="0"/>
        <v>1</v>
      </c>
      <c r="T14" s="30">
        <f t="shared" si="5"/>
        <v>357.01229483687536</v>
      </c>
      <c r="U14" s="31">
        <f>T14/(1+Real_Discount_Rate)^(Calculations!M14-'Assumed Values'!$C$5)</f>
        <v>181.48694736371675</v>
      </c>
    </row>
    <row r="15" spans="1:21" ht="15.75">
      <c r="A15" s="39" t="s">
        <v>115</v>
      </c>
      <c r="B15" s="118">
        <f>(B13/B12)^(1/(2025-2018))-1</f>
        <v>3.7113633697943182E-2</v>
      </c>
      <c r="L15" s="106"/>
      <c r="M15" s="11">
        <f>M14+1</f>
        <v>2029</v>
      </c>
      <c r="N15" s="112">
        <f t="shared" si="6"/>
        <v>98845.783933696555</v>
      </c>
      <c r="O15" s="113">
        <f t="shared" si="7"/>
        <v>2.4723310203722759E-2</v>
      </c>
      <c r="P15" s="114">
        <f>P14*(1+IFERROR(_2025_2040_V_C_Growth,_2018_2045_V_C_Growth))</f>
        <v>0.47493352323895521</v>
      </c>
      <c r="Q15" s="115">
        <f t="shared" si="4"/>
        <v>1</v>
      </c>
      <c r="R15" s="30">
        <f>IF(M15=Year_Open_to_Traffic?,Calculations!$J$5,Calculations!R14+(Calculations!R14*Calculations!O15*Q15))</f>
        <v>365838.82054867037</v>
      </c>
      <c r="S15" s="45">
        <f t="shared" si="0"/>
        <v>1</v>
      </c>
      <c r="T15" s="30">
        <f t="shared" si="5"/>
        <v>365.83882054867036</v>
      </c>
      <c r="U15" s="31">
        <f>T15/(1+Real_Discount_Rate)^(Calculations!M15-'Assumed Values'!$C$5)</f>
        <v>173.80738828160429</v>
      </c>
    </row>
    <row r="16" spans="1:21" ht="15.75">
      <c r="A16" s="39" t="s">
        <v>116</v>
      </c>
      <c r="B16" s="118">
        <f>(B14/B13)^(1/(2045-2025))-1</f>
        <v>2.4723310203722759E-2</v>
      </c>
      <c r="D16" s="121" t="s">
        <v>117</v>
      </c>
      <c r="E16" s="57"/>
      <c r="L16" s="106"/>
      <c r="M16" s="107">
        <f t="shared" si="1"/>
        <v>2030</v>
      </c>
      <c r="N16" s="112">
        <f t="shared" si="6"/>
        <v>101289.57891221948</v>
      </c>
      <c r="O16" s="113">
        <f t="shared" si="7"/>
        <v>2.4723310203722759E-2</v>
      </c>
      <c r="P16" s="114">
        <f t="shared" si="8"/>
        <v>0.4866754520601389</v>
      </c>
      <c r="Q16" s="115">
        <f t="shared" si="4"/>
        <v>1</v>
      </c>
      <c r="R16" s="30">
        <f>IF(M16=Year_Open_to_Traffic?,Calculations!$J$5,Calculations!R15+(Calculations!R15*Calculations!O16*Q16))</f>
        <v>374883.5671936592</v>
      </c>
      <c r="S16" s="45">
        <f t="shared" si="0"/>
        <v>1</v>
      </c>
      <c r="T16" s="30">
        <f t="shared" si="5"/>
        <v>374.88356719365919</v>
      </c>
      <c r="U16" s="31">
        <f>T16/(1+Real_Discount_Rate)^(Calculations!M16-'Assumed Values'!$C$5)</f>
        <v>166.45278715681246</v>
      </c>
    </row>
    <row r="17" spans="1:21" ht="15.75">
      <c r="A17" s="39" t="s">
        <v>118</v>
      </c>
      <c r="B17" s="118">
        <f>(B14/B12)^(1/(2045-2018))-1</f>
        <v>2.792133075564518E-2</v>
      </c>
      <c r="D17" s="39" t="s">
        <v>119</v>
      </c>
      <c r="E17" s="122">
        <f>($E$6*Death_Rate)/100000000</f>
        <v>0</v>
      </c>
      <c r="L17" s="106"/>
      <c r="M17" s="11">
        <f t="shared" si="1"/>
        <v>2031</v>
      </c>
      <c r="N17" s="112">
        <f t="shared" si="6"/>
        <v>103793.79259207073</v>
      </c>
      <c r="O17" s="113">
        <f t="shared" si="7"/>
        <v>2.4723310203722759E-2</v>
      </c>
      <c r="P17" s="114">
        <f t="shared" si="8"/>
        <v>0.49870768022995871</v>
      </c>
      <c r="Q17" s="115">
        <f t="shared" si="4"/>
        <v>1</v>
      </c>
      <c r="R17" s="30">
        <f>IF(M17=Year_Open_to_Traffic?,Calculations!$J$5,Calculations!R16+(Calculations!R16*Calculations!O17*Q17))</f>
        <v>384151.92991566617</v>
      </c>
      <c r="S17" s="45">
        <f t="shared" si="0"/>
        <v>1</v>
      </c>
      <c r="T17" s="30">
        <f t="shared" si="5"/>
        <v>384.15192991566619</v>
      </c>
      <c r="U17" s="31">
        <f>T17/(1+Real_Discount_Rate)^(Calculations!M17-'Assumed Values'!$C$5)</f>
        <v>159.40939350277063</v>
      </c>
    </row>
    <row r="18" spans="1:21" ht="15.75">
      <c r="D18" s="39" t="s">
        <v>120</v>
      </c>
      <c r="E18" s="122">
        <f>($E$6*Incap_Injry_Rate)/100000000</f>
        <v>0.15927646011778204</v>
      </c>
      <c r="L18" s="106"/>
      <c r="M18" s="107">
        <f t="shared" si="1"/>
        <v>2032</v>
      </c>
      <c r="N18" s="112">
        <f t="shared" si="6"/>
        <v>106359.91872354536</v>
      </c>
      <c r="O18" s="113">
        <f t="shared" si="7"/>
        <v>2.4723310203722759E-2</v>
      </c>
      <c r="P18" s="114">
        <f t="shared" si="8"/>
        <v>0.51103738490926298</v>
      </c>
      <c r="Q18" s="115">
        <f t="shared" si="4"/>
        <v>1</v>
      </c>
      <c r="R18" s="30">
        <f>IF(M18=Year_Open_to_Traffic?,Calculations!$J$5,Calculations!R17+(Calculations!R17*Calculations!O18*Q18))</f>
        <v>393649.43724432995</v>
      </c>
      <c r="S18" s="45">
        <f t="shared" si="0"/>
        <v>1</v>
      </c>
      <c r="T18" s="30">
        <f t="shared" si="5"/>
        <v>393.64943724432993</v>
      </c>
      <c r="U18" s="31">
        <f>T18/(1+Real_Discount_Rate)^(Calculations!M18-'Assumed Values'!$C$5)</f>
        <v>152.66403868011861</v>
      </c>
    </row>
    <row r="19" spans="1:21" ht="15.75">
      <c r="D19" s="39" t="s">
        <v>121</v>
      </c>
      <c r="E19" s="122">
        <f>($E$6*Nonincap_Injry_Rate)/100000000</f>
        <v>1.0512246367773617</v>
      </c>
      <c r="L19" s="106"/>
      <c r="M19" s="11">
        <f t="shared" si="1"/>
        <v>2033</v>
      </c>
      <c r="N19" s="112">
        <f t="shared" si="6"/>
        <v>108989.48798739031</v>
      </c>
      <c r="O19" s="113">
        <f t="shared" si="7"/>
        <v>2.4723310203722759E-2</v>
      </c>
      <c r="P19" s="114">
        <f t="shared" si="8"/>
        <v>0.52367192070207391</v>
      </c>
      <c r="Q19" s="115">
        <f t="shared" si="4"/>
        <v>1</v>
      </c>
      <c r="R19" s="30">
        <f>IF(M19=Year_Open_to_Traffic?,Calculations!$J$5,Calculations!R18+(Calculations!R18*Calculations!O19*Q19))</f>
        <v>403381.75439284241</v>
      </c>
      <c r="S19" s="45">
        <f t="shared" si="0"/>
        <v>1</v>
      </c>
      <c r="T19" s="30">
        <f t="shared" si="5"/>
        <v>403.38175439284242</v>
      </c>
      <c r="U19" s="31">
        <f>T19/(1+Real_Discount_Rate)^(Calculations!M19-'Assumed Values'!$C$5)</f>
        <v>146.20411127603768</v>
      </c>
    </row>
    <row r="20" spans="1:21" ht="15.75">
      <c r="D20" s="39" t="s">
        <v>122</v>
      </c>
      <c r="E20" s="122">
        <f>($E$6*Poss_Injry_Rate/100000000)</f>
        <v>0.86009288463602318</v>
      </c>
      <c r="L20" s="106"/>
      <c r="M20" s="107">
        <f t="shared" si="1"/>
        <v>2034</v>
      </c>
      <c r="N20" s="112">
        <f t="shared" si="6"/>
        <v>111684.06890784748</v>
      </c>
      <c r="O20" s="113">
        <f t="shared" si="7"/>
        <v>2.4723310203722759E-2</v>
      </c>
      <c r="P20" s="114">
        <f t="shared" si="8"/>
        <v>0.53661882404257055</v>
      </c>
      <c r="Q20" s="115">
        <f t="shared" si="4"/>
        <v>1</v>
      </c>
      <c r="R20" s="30">
        <f>IF(M20=Year_Open_to_Traffic?,Calculations!$J$5,Calculations!R19+(Calculations!R19*Calculations!O20*Q20))</f>
        <v>413354.68663721858</v>
      </c>
      <c r="S20" s="45">
        <f t="shared" si="0"/>
        <v>1</v>
      </c>
      <c r="T20" s="30">
        <f t="shared" si="5"/>
        <v>413.35468663721855</v>
      </c>
      <c r="U20" s="31">
        <f>T20/(1+Real_Discount_Rate)^(Calculations!M20-'Assumed Values'!$C$5)</f>
        <v>140.01753352539697</v>
      </c>
    </row>
    <row r="21" spans="1:21" ht="15.75">
      <c r="D21" s="39" t="s">
        <v>123</v>
      </c>
      <c r="E21" s="122">
        <f>($E$6*Non_Injry_Rate)/100000000</f>
        <v>13.315512065846582</v>
      </c>
      <c r="L21" s="106"/>
      <c r="M21" s="11">
        <f>M20+1</f>
        <v>2035</v>
      </c>
      <c r="N21" s="112">
        <f t="shared" si="6"/>
        <v>114445.26878827014</v>
      </c>
      <c r="O21" s="113">
        <f t="shared" si="7"/>
        <v>2.4723310203722759E-2</v>
      </c>
      <c r="P21" s="114">
        <f>P20*(1+IFERROR(_2025_2040_V_C_Growth,_2018_2045_V_C_Growth))</f>
        <v>0.54988581769053191</v>
      </c>
      <c r="Q21" s="115">
        <f t="shared" si="4"/>
        <v>1</v>
      </c>
      <c r="R21" s="30">
        <f>IF(M21=Year_Open_to_Traffic?,Calculations!$J$5,Calculations!R20+(Calculations!R20*Calculations!O21*Q21))</f>
        <v>423574.18277911312</v>
      </c>
      <c r="S21" s="45">
        <f t="shared" si="0"/>
        <v>1</v>
      </c>
      <c r="T21" s="30">
        <f t="shared" si="5"/>
        <v>423.57418277911313</v>
      </c>
      <c r="U21" s="31">
        <f>T21/(1+Real_Discount_Rate)^(Calculations!M21-'Assumed Values'!$C$5)</f>
        <v>134.09273872963132</v>
      </c>
    </row>
    <row r="22" spans="1:21" ht="15.75">
      <c r="D22" s="39" t="s">
        <v>124</v>
      </c>
      <c r="E22" s="122">
        <f>($E$6*Unkn_Injry_Rate)/100000000</f>
        <v>0.31855292023556409</v>
      </c>
      <c r="L22" s="106"/>
      <c r="M22" s="107">
        <f>M21+1</f>
        <v>2036</v>
      </c>
      <c r="N22" s="112">
        <f t="shared" si="6"/>
        <v>117274.73466987097</v>
      </c>
      <c r="O22" s="113">
        <f t="shared" si="7"/>
        <v>2.4723310203722759E-2</v>
      </c>
      <c r="P22" s="114">
        <f t="shared" si="8"/>
        <v>0.56348081533792271</v>
      </c>
      <c r="Q22" s="115">
        <f t="shared" si="4"/>
        <v>1</v>
      </c>
      <c r="R22" s="30">
        <f>IF(M22=Year_Open_to_Traffic?,Calculations!$J$5,Calculations!R21+(Calculations!R21*Calculations!O22*Q22))</f>
        <v>434046.33869424951</v>
      </c>
      <c r="S22" s="45">
        <f t="shared" si="0"/>
        <v>1</v>
      </c>
      <c r="T22" s="30">
        <f t="shared" si="5"/>
        <v>434.04633869424953</v>
      </c>
      <c r="U22" s="31">
        <f>T22/(1+Real_Discount_Rate)^(Calculations!M22-'Assumed Values'!$C$5)</f>
        <v>128.41864963113153</v>
      </c>
    </row>
    <row r="23" spans="1:21" ht="15.75">
      <c r="L23" s="106"/>
      <c r="M23" s="11">
        <f t="shared" si="1"/>
        <v>2037</v>
      </c>
      <c r="N23" s="112">
        <f t="shared" si="6"/>
        <v>120174.15431417347</v>
      </c>
      <c r="O23" s="113">
        <f t="shared" si="7"/>
        <v>2.4723310203722759E-2</v>
      </c>
      <c r="P23" s="114">
        <f t="shared" si="8"/>
        <v>0.57741192632936877</v>
      </c>
      <c r="Q23" s="115">
        <f t="shared" si="4"/>
        <v>1</v>
      </c>
      <c r="R23" s="30">
        <f>IF(M23=Year_Open_to_Traffic?,Calculations!$J$5,Calculations!R22+(Calculations!R22*Calculations!O23*Q23))</f>
        <v>444777.40096857754</v>
      </c>
      <c r="S23" s="45">
        <f t="shared" si="0"/>
        <v>1</v>
      </c>
      <c r="T23" s="30">
        <f t="shared" si="5"/>
        <v>444.77740096857752</v>
      </c>
      <c r="U23" s="31">
        <f>T23/(1+Real_Discount_Rate)^(Calculations!M23-'Assumed Values'!$C$5)</f>
        <v>122.98465770271511</v>
      </c>
    </row>
    <row r="24" spans="1:21" ht="15.75">
      <c r="L24" s="106"/>
      <c r="M24" s="107">
        <f t="shared" si="1"/>
        <v>2038</v>
      </c>
      <c r="N24" s="112">
        <f t="shared" si="6"/>
        <v>123145.25720975283</v>
      </c>
      <c r="O24" s="113">
        <f t="shared" si="7"/>
        <v>2.4723310203722759E-2</v>
      </c>
      <c r="P24" s="114">
        <f t="shared" si="8"/>
        <v>0.59168746049933885</v>
      </c>
      <c r="Q24" s="115">
        <f t="shared" si="4"/>
        <v>1</v>
      </c>
      <c r="R24" s="30">
        <f>IF(M24=Year_Open_to_Traffic?,Calculations!$J$5,Calculations!R23+(Calculations!R23*Calculations!O24*Q24))</f>
        <v>455773.77062432928</v>
      </c>
      <c r="S24" s="45">
        <f t="shared" si="0"/>
        <v>1</v>
      </c>
      <c r="T24" s="30">
        <f t="shared" si="5"/>
        <v>455.7737706243293</v>
      </c>
      <c r="U24" s="31">
        <f>T24/(1+Real_Discount_Rate)^(Calculations!M24-'Assumed Values'!$C$5)</f>
        <v>117.7806033134561</v>
      </c>
    </row>
    <row r="25" spans="1:21" ht="15.75">
      <c r="A25" s="136" t="s">
        <v>125</v>
      </c>
      <c r="B25" s="136"/>
      <c r="D25" s="101" t="s">
        <v>119</v>
      </c>
      <c r="E25" s="101" t="s">
        <v>120</v>
      </c>
      <c r="F25" s="101" t="s">
        <v>121</v>
      </c>
      <c r="G25" s="101" t="s">
        <v>122</v>
      </c>
      <c r="H25" s="101" t="s">
        <v>123</v>
      </c>
      <c r="I25" s="101" t="s">
        <v>124</v>
      </c>
      <c r="J25" s="137" t="s">
        <v>126</v>
      </c>
      <c r="L25" s="106"/>
      <c r="M25" s="11">
        <f t="shared" si="1"/>
        <v>2039</v>
      </c>
      <c r="N25" s="112">
        <f t="shared" si="6"/>
        <v>126189.81560386678</v>
      </c>
      <c r="O25" s="113">
        <f t="shared" si="7"/>
        <v>2.4723310203722759E-2</v>
      </c>
      <c r="P25" s="114">
        <f t="shared" si="8"/>
        <v>0.60631593312891696</v>
      </c>
      <c r="Q25" s="115">
        <f t="shared" si="4"/>
        <v>1</v>
      </c>
      <c r="R25" s="30">
        <f>IF(M25=Year_Open_to_Traffic?,Calculations!$J$5,Calculations!R24+(Calculations!R24*Calculations!O25*Q25))</f>
        <v>467042.00693819497</v>
      </c>
      <c r="S25" s="45">
        <f t="shared" si="0"/>
        <v>1</v>
      </c>
      <c r="T25" s="30">
        <f t="shared" si="5"/>
        <v>467.04200693819496</v>
      </c>
      <c r="U25" s="31">
        <f>T25/(1+Real_Discount_Rate)^(Calculations!M25-'Assumed Values'!$C$5)</f>
        <v>112.79675673379091</v>
      </c>
    </row>
    <row r="26" spans="1:21" ht="15.75">
      <c r="A26" s="136"/>
      <c r="B26" s="136"/>
      <c r="D26" s="123">
        <f>Calculations!E17</f>
        <v>0</v>
      </c>
      <c r="E26" s="123">
        <f>Calculations!E18</f>
        <v>0.15927646011778204</v>
      </c>
      <c r="F26" s="123">
        <f>Calculations!E19</f>
        <v>1.0512246367773617</v>
      </c>
      <c r="G26" s="123">
        <f>Calculations!E20</f>
        <v>0.86009288463602318</v>
      </c>
      <c r="H26" s="123">
        <f>Calculations!E21</f>
        <v>13.315512065846582</v>
      </c>
      <c r="I26" s="123">
        <f>Calculations!E22</f>
        <v>0.31855292023556409</v>
      </c>
      <c r="J26" s="137"/>
      <c r="L26" s="106"/>
      <c r="M26" s="107">
        <f t="shared" si="1"/>
        <v>2040</v>
      </c>
      <c r="N26" s="112">
        <f t="shared" si="6"/>
        <v>129309.64555959175</v>
      </c>
      <c r="O26" s="113">
        <f t="shared" si="7"/>
        <v>2.4723310203722759E-2</v>
      </c>
      <c r="P26" s="114">
        <f t="shared" si="8"/>
        <v>0.62130607002512284</v>
      </c>
      <c r="Q26" s="115">
        <f t="shared" si="4"/>
        <v>1</v>
      </c>
      <c r="R26" s="30">
        <f>IF(M26=Year_Open_to_Traffic?,Calculations!$J$5,Calculations!R25+(Calculations!R25*Calculations!O26*Q26))</f>
        <v>478588.83135389723</v>
      </c>
      <c r="S26" s="45">
        <f t="shared" si="0"/>
        <v>1</v>
      </c>
      <c r="T26" s="30">
        <f t="shared" si="5"/>
        <v>478.58883135389721</v>
      </c>
      <c r="U26" s="31">
        <f>T26/(1+Real_Discount_Rate)^(Calculations!M26-'Assumed Values'!$C$5)</f>
        <v>108.02379994438719</v>
      </c>
    </row>
    <row r="27" spans="1:21" ht="15.75">
      <c r="A27" s="38" t="s">
        <v>127</v>
      </c>
      <c r="B27" s="39" t="s">
        <v>128</v>
      </c>
      <c r="D27" s="124">
        <f>D$26*'Value of Statistical Life'!D17*Appropriate_Crash_Reduction_Factor</f>
        <v>0</v>
      </c>
      <c r="E27" s="124">
        <f>E$26*'Value of Statistical Life'!E17*Appropriate_Crash_Reduction_Factor</f>
        <v>4.3794655473985344E-3</v>
      </c>
      <c r="F27" s="124">
        <f>F$26*'Value of Statistical Life'!F17*Appropriate_Crash_Reduction_Factor</f>
        <v>7.0196576345445114E-2</v>
      </c>
      <c r="G27" s="124">
        <f>G$26*'Value of Statistical Life'!G17*Appropriate_Crash_Reduction_Factor</f>
        <v>0.16126397549771582</v>
      </c>
      <c r="H27" s="124">
        <f>H$26*'Value of Statistical Life'!H17*Appropriate_Crash_Reduction_Factor</f>
        <v>9.8571007480083814</v>
      </c>
      <c r="I27" s="124">
        <f>I$26*'Value of Statistical Life'!I17*Appropriate_Crash_Reduction_Factor</f>
        <v>0.11130493875366798</v>
      </c>
      <c r="J27" s="124">
        <f t="shared" ref="J27:J33" si="9">SUM(D27:I27)</f>
        <v>10.204245704152608</v>
      </c>
      <c r="K27" s="69"/>
      <c r="L27" s="106"/>
      <c r="M27" s="11">
        <f t="shared" si="1"/>
        <v>2041</v>
      </c>
      <c r="N27" s="112">
        <f t="shared" si="6"/>
        <v>132506.60803909498</v>
      </c>
      <c r="O27" s="113">
        <f t="shared" si="7"/>
        <v>2.4723310203722759E-2</v>
      </c>
      <c r="P27" s="114">
        <f t="shared" si="8"/>
        <v>0.63666681272580983</v>
      </c>
      <c r="Q27" s="115">
        <f t="shared" si="4"/>
        <v>1</v>
      </c>
      <c r="R27" s="30">
        <f>IF(M27=Year_Open_to_Traffic?,Calculations!$J$5,Calculations!R26+(Calculations!R26*Calculations!O27*Q27))</f>
        <v>490421.13149149681</v>
      </c>
      <c r="S27" s="45">
        <f t="shared" si="0"/>
        <v>1</v>
      </c>
      <c r="T27" s="30">
        <f t="shared" si="5"/>
        <v>490.42113149149679</v>
      </c>
      <c r="U27" s="31">
        <f>T27/(1+Real_Discount_Rate)^(Calculations!M27-'Assumed Values'!$C$5)</f>
        <v>103.4528092147637</v>
      </c>
    </row>
    <row r="28" spans="1:21" ht="15.75">
      <c r="A28" s="38" t="s">
        <v>129</v>
      </c>
      <c r="B28" s="39" t="s">
        <v>130</v>
      </c>
      <c r="D28" s="124">
        <f>D$26*'Value of Statistical Life'!D18*Appropriate_Crash_Reduction_Factor</f>
        <v>0</v>
      </c>
      <c r="E28" s="124">
        <f>E$26*'Value of Statistical Life'!E18*Appropriate_Crash_Reduction_Factor</f>
        <v>7.0653763496567185E-2</v>
      </c>
      <c r="F28" s="124">
        <f>F$26*'Value of Statistical Life'!F18*Appropriate_Crash_Reduction_Factor</f>
        <v>0.6462340381110625</v>
      </c>
      <c r="G28" s="124">
        <f>G$26*'Value of Statistical Life'!G18*Appropriate_Crash_Reduction_Factor</f>
        <v>0.47439971219292199</v>
      </c>
      <c r="H28" s="124">
        <f>H$26*'Value of Statistical Life'!H18*Appropriate_Crash_Reduction_Factor</f>
        <v>0.77304536849478911</v>
      </c>
      <c r="I28" s="124">
        <f>I$26*'Value of Statistical Life'!I18*Appropriate_Crash_Reduction_Factor</f>
        <v>0.10636864270169769</v>
      </c>
      <c r="J28" s="124">
        <f t="shared" si="9"/>
        <v>2.0707015249970384</v>
      </c>
      <c r="K28" s="69"/>
      <c r="L28" s="106"/>
      <c r="M28" s="107">
        <f t="shared" si="1"/>
        <v>2042</v>
      </c>
      <c r="N28" s="112">
        <f t="shared" si="6"/>
        <v>135782.61001368862</v>
      </c>
      <c r="O28" s="113">
        <f t="shared" si="7"/>
        <v>2.4723310203722759E-2</v>
      </c>
      <c r="P28" s="114">
        <f t="shared" si="8"/>
        <v>0.65240732383324551</v>
      </c>
      <c r="Q28" s="115">
        <f t="shared" si="4"/>
        <v>1</v>
      </c>
      <c r="R28" s="30">
        <f>IF(M28=Year_Open_to_Traffic?,Calculations!$J$5,Calculations!R27+(Calculations!R27*Calculations!O28*Q28))</f>
        <v>502545.96525582182</v>
      </c>
      <c r="S28" s="45">
        <f t="shared" si="0"/>
        <v>1</v>
      </c>
      <c r="T28" s="30">
        <f t="shared" si="5"/>
        <v>502.54596525582184</v>
      </c>
      <c r="U28" s="31">
        <f>T28/(1+Real_Discount_Rate)^(Calculations!M28-'Assumed Values'!$C$5)</f>
        <v>99.075238419090525</v>
      </c>
    </row>
    <row r="29" spans="1:21" ht="15.75">
      <c r="A29" s="38" t="s">
        <v>131</v>
      </c>
      <c r="B29" s="39" t="s">
        <v>132</v>
      </c>
      <c r="D29" s="124">
        <f>D$26*'Value of Statistical Life'!D19*Appropriate_Crash_Reduction_Factor</f>
        <v>0</v>
      </c>
      <c r="E29" s="124">
        <f>E$26*'Value of Statistical Life'!E19*Appropriate_Crash_Reduction_Factor</f>
        <v>2.6641217825140697E-2</v>
      </c>
      <c r="F29" s="124">
        <f>F$26*'Value of Statistical Life'!F19*Appropriate_Crash_Reduction_Factor</f>
        <v>9.1649968732797502E-2</v>
      </c>
      <c r="G29" s="124">
        <f>G$26*'Value of Statistical Life'!G19*Appropriate_Crash_Reduction_Factor</f>
        <v>4.3974829005670596E-2</v>
      </c>
      <c r="H29" s="124">
        <f>H$26*'Value of Statistical Life'!H19*Appropriate_Crash_Reduction_Factor</f>
        <v>2.1091771112300987E-2</v>
      </c>
      <c r="I29" s="124">
        <f>I$26*'Value of Statistical Life'!I19*Appropriate_Crash_Reduction_Factor</f>
        <v>2.2609612066639397E-2</v>
      </c>
      <c r="J29" s="124">
        <f t="shared" si="9"/>
        <v>0.20596739874254918</v>
      </c>
      <c r="K29" s="69"/>
      <c r="L29" s="106"/>
      <c r="M29" s="11">
        <f t="shared" si="1"/>
        <v>2043</v>
      </c>
      <c r="N29" s="112">
        <f t="shared" si="6"/>
        <v>139139.60560132816</v>
      </c>
      <c r="O29" s="113">
        <f t="shared" si="7"/>
        <v>2.4723310203722759E-2</v>
      </c>
      <c r="P29" s="114">
        <f t="shared" si="8"/>
        <v>0.66853699247955545</v>
      </c>
      <c r="Q29" s="115">
        <f t="shared" si="4"/>
        <v>1</v>
      </c>
      <c r="R29" s="30">
        <f>IF(M29=Year_Open_to_Traffic?,Calculations!$J$5,Calculations!R28+(Calculations!R28*Calculations!O29*Q29))</f>
        <v>514970.56504647079</v>
      </c>
      <c r="S29" s="45">
        <f t="shared" si="0"/>
        <v>1</v>
      </c>
      <c r="T29" s="30">
        <f t="shared" si="5"/>
        <v>514.97056504647082</v>
      </c>
      <c r="U29" s="31">
        <f>T29/(1+Real_Discount_Rate)^(Calculations!M29-'Assumed Values'!$C$5)</f>
        <v>94.882903057975227</v>
      </c>
    </row>
    <row r="30" spans="1:21" ht="15.75">
      <c r="A30" s="38" t="s">
        <v>133</v>
      </c>
      <c r="B30" s="39" t="s">
        <v>134</v>
      </c>
      <c r="D30" s="124">
        <f>D$26*'Value of Statistical Life'!D20*Appropriate_Crash_Reduction_Factor</f>
        <v>0</v>
      </c>
      <c r="E30" s="124">
        <f>E$26*'Value of Statistical Life'!E20*Appropriate_Crash_Reduction_Factor</f>
        <v>1.8395794037763355E-2</v>
      </c>
      <c r="F30" s="124">
        <f>F$26*'Value of Statistical Life'!F20*Appropriate_Crash_Reduction_Factor</f>
        <v>2.6835662527652487E-2</v>
      </c>
      <c r="G30" s="124">
        <f>G$26*'Value of Statistical Life'!G20*Appropriate_Crash_Reduction_Factor</f>
        <v>7.3692758355614471E-3</v>
      </c>
      <c r="H30" s="124">
        <f>H$26*'Value of Statistical Life'!H20*Appropriate_Crash_Reduction_Factor</f>
        <v>8.5219277221418137E-4</v>
      </c>
      <c r="I30" s="124">
        <f>I$26*'Value of Statistical Life'!I20*Appropriate_Crash_Reduction_Factor</f>
        <v>1.2275755334197697E-2</v>
      </c>
      <c r="J30" s="124">
        <f t="shared" si="9"/>
        <v>6.572868050738917E-2</v>
      </c>
      <c r="K30" s="69"/>
      <c r="L30" s="106"/>
      <c r="M30" s="11">
        <f t="shared" si="1"/>
        <v>2044</v>
      </c>
      <c r="N30" s="112">
        <f t="shared" si="6"/>
        <v>142579.59723223344</v>
      </c>
      <c r="O30" s="113">
        <f t="shared" si="7"/>
        <v>2.4723310203722759E-2</v>
      </c>
      <c r="P30" s="114">
        <f t="shared" si="8"/>
        <v>0.68506543992729141</v>
      </c>
      <c r="Q30" s="115">
        <f t="shared" si="4"/>
        <v>1</v>
      </c>
      <c r="R30" s="30">
        <f>IF(M30=Year_Open_to_Traffic?,Calculations!$J$5,Calculations!R29+(Calculations!R29*Calculations!O30*Q30))</f>
        <v>527702.34207190108</v>
      </c>
      <c r="S30" s="45">
        <f t="shared" si="0"/>
        <v>1</v>
      </c>
      <c r="T30" s="30">
        <f t="shared" si="5"/>
        <v>527.70234207190106</v>
      </c>
      <c r="U30" s="31">
        <f>T30/(1+Real_Discount_Rate)^(Calculations!M30-'Assumed Values'!$C$5)</f>
        <v>90.867964956361959</v>
      </c>
    </row>
    <row r="31" spans="1:21" ht="15.75">
      <c r="A31" s="38" t="s">
        <v>135</v>
      </c>
      <c r="B31" s="39" t="s">
        <v>136</v>
      </c>
      <c r="D31" s="124">
        <f>D$26*'Value of Statistical Life'!D21*Appropriate_Crash_Reduction_Factor</f>
        <v>0</v>
      </c>
      <c r="E31" s="124">
        <f>E$26*'Value of Statistical Life'!E21*Appropriate_Crash_Reduction_Factor</f>
        <v>5.0790077602358343E-3</v>
      </c>
      <c r="F31" s="124">
        <f>F$26*'Value of Statistical Life'!F21*Appropriate_Crash_Reduction_Factor</f>
        <v>5.2140741984157135E-3</v>
      </c>
      <c r="G31" s="124">
        <f>G$26*'Value of Statistical Life'!G21*Appropriate_Crash_Reduction_Factor</f>
        <v>9.7706551694652253E-4</v>
      </c>
      <c r="H31" s="124">
        <f>H$26*'Value of Statistical Life'!H21*Appropriate_Crash_Reduction_Factor</f>
        <v>0</v>
      </c>
      <c r="I31" s="124">
        <f>I$26*'Value of Statistical Life'!I21*Appropriate_Crash_Reduction_Factor</f>
        <v>1.5723772142827446E-3</v>
      </c>
      <c r="J31" s="124">
        <f t="shared" si="9"/>
        <v>1.2842524689880815E-2</v>
      </c>
      <c r="K31" s="69"/>
      <c r="L31" s="106"/>
      <c r="M31" s="11">
        <f t="shared" si="1"/>
        <v>2045</v>
      </c>
      <c r="N31" s="112">
        <f t="shared" si="6"/>
        <v>146104.63684332781</v>
      </c>
      <c r="O31" s="113">
        <f t="shared" si="7"/>
        <v>2.4723310203722759E-2</v>
      </c>
      <c r="P31" s="114">
        <f t="shared" si="8"/>
        <v>0.70200252530846363</v>
      </c>
      <c r="Q31" s="115">
        <f t="shared" si="4"/>
        <v>1</v>
      </c>
      <c r="R31" s="30">
        <f>IF(M31=Year_Open_to_Traffic?,Calculations!$J$5,Calculations!R30+(Calculations!R30*Calculations!O31*Q31))</f>
        <v>540748.89077017573</v>
      </c>
      <c r="S31" s="45">
        <f t="shared" si="0"/>
        <v>1</v>
      </c>
      <c r="T31" s="30">
        <f t="shared" si="5"/>
        <v>540.74889077017576</v>
      </c>
      <c r="U31" s="31">
        <f>T31/(1+Real_Discount_Rate)^(Calculations!M31-'Assumed Values'!$C$5)</f>
        <v>87.022917608933739</v>
      </c>
    </row>
    <row r="32" spans="1:21" ht="15.75">
      <c r="A32" s="38" t="s">
        <v>137</v>
      </c>
      <c r="B32" s="39" t="s">
        <v>138</v>
      </c>
      <c r="D32" s="124">
        <f>D$26*'Value of Statistical Life'!D22*Appropriate_Crash_Reduction_Factor</f>
        <v>0</v>
      </c>
      <c r="E32" s="124">
        <f>E$26*'Value of Statistical Life'!E22*Appropriate_Crash_Reduction_Factor</f>
        <v>2.2719194271200427E-3</v>
      </c>
      <c r="F32" s="124">
        <f>F$26*'Value of Statistical Life'!F22*Appropriate_Crash_Reduction_Factor</f>
        <v>8.4938950651610833E-4</v>
      </c>
      <c r="G32" s="124">
        <f>G$26*'Value of Statistical Life'!G22*Appropriate_Crash_Reduction_Factor</f>
        <v>8.9449660002146404E-5</v>
      </c>
      <c r="H32" s="124">
        <f>H$26*'Value of Statistical Life'!H22*Appropriate_Crash_Reduction_Factor</f>
        <v>3.1957228958031801E-4</v>
      </c>
      <c r="I32" s="124">
        <f>I$26*'Value of Statistical Life'!I22*Appropriate_Crash_Reduction_Factor</f>
        <v>7.1101011796577906E-4</v>
      </c>
      <c r="J32" s="124">
        <f t="shared" si="9"/>
        <v>4.2413410011843946E-3</v>
      </c>
      <c r="K32" s="69"/>
      <c r="L32" s="106"/>
      <c r="M32" s="11">
        <f t="shared" si="1"/>
        <v>2046</v>
      </c>
      <c r="N32" s="112">
        <f t="shared" si="6"/>
        <v>149716.82710220767</v>
      </c>
      <c r="O32" s="113">
        <f t="shared" si="7"/>
        <v>2.4723310203722759E-2</v>
      </c>
      <c r="P32" s="114">
        <f t="shared" si="8"/>
        <v>0.71935835150546157</v>
      </c>
      <c r="Q32" s="115">
        <f t="shared" si="4"/>
        <v>1</v>
      </c>
      <c r="R32" s="30">
        <f>IF(M32=Year_Open_to_Traffic?,Calculations!$J$5,Calculations!R31+(Calculations!R31*Calculations!O32*Q32))</f>
        <v>554117.99333900574</v>
      </c>
      <c r="S32" s="45">
        <f t="shared" si="0"/>
        <v>1</v>
      </c>
      <c r="T32" s="30">
        <f t="shared" si="5"/>
        <v>554.11799333900569</v>
      </c>
      <c r="U32" s="31">
        <f>T32/(1+Real_Discount_Rate)^(Calculations!M32-'Assumed Values'!$C$5)</f>
        <v>83.340572145619078</v>
      </c>
    </row>
    <row r="33" spans="1:21" ht="15.75">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153418.32266137266</v>
      </c>
      <c r="O33" s="113">
        <f t="shared" si="7"/>
        <v>2.4723310203722759E-2</v>
      </c>
      <c r="P33" s="114">
        <f t="shared" si="8"/>
        <v>0.73714327117736977</v>
      </c>
      <c r="Q33" s="115">
        <f t="shared" si="4"/>
        <v>1</v>
      </c>
      <c r="R33" s="30">
        <f>IF(M33=Year_Open_to_Traffic?,Calculations!$J$5,Calculations!R32+(Calculations!R32*Calculations!O33*Q33))</f>
        <v>567817.62437779037</v>
      </c>
      <c r="S33" s="45">
        <f t="shared" si="0"/>
        <v>1</v>
      </c>
      <c r="T33" s="30">
        <f t="shared" si="5"/>
        <v>567.81762437779037</v>
      </c>
      <c r="U33" s="31">
        <f>T33/(1+Real_Discount_Rate)^(Calculations!M33-'Assumed Values'!$C$5)</f>
        <v>79.814043890963518</v>
      </c>
    </row>
    <row r="34" spans="1:21" ht="15.75">
      <c r="J34" s="125"/>
      <c r="L34" s="106"/>
      <c r="M34" s="11">
        <f t="shared" si="1"/>
        <v>2048</v>
      </c>
      <c r="N34" s="112">
        <f t="shared" si="6"/>
        <v>157211.33144346462</v>
      </c>
      <c r="O34" s="113">
        <f t="shared" si="7"/>
        <v>2.4723310203722759E-2</v>
      </c>
      <c r="P34" s="114">
        <f t="shared" si="8"/>
        <v>0.75536789293527484</v>
      </c>
      <c r="Q34" s="115">
        <f t="shared" si="4"/>
        <v>1</v>
      </c>
      <c r="R34" s="30">
        <f>IF(M34=Year_Open_to_Traffic?,Calculations!$J$5,Calculations!R33+(Calculations!R33*Calculations!O34*Q34))</f>
        <v>581855.95564442337</v>
      </c>
      <c r="S34" s="45">
        <f t="shared" si="0"/>
        <v>1</v>
      </c>
      <c r="T34" s="30">
        <f t="shared" si="5"/>
        <v>581.85595564442337</v>
      </c>
      <c r="U34" s="31">
        <f>T34/(1+Real_Discount_Rate)^(Calculations!M34-'Assumed Values'!$C$5)</f>
        <v>76.436739492236782</v>
      </c>
    </row>
    <row r="35" spans="1:21" ht="15.75">
      <c r="G35" s="41"/>
      <c r="H35" s="41"/>
      <c r="L35" s="106"/>
      <c r="M35" s="11">
        <f t="shared" si="1"/>
        <v>2049</v>
      </c>
      <c r="N35" s="112">
        <f t="shared" si="6"/>
        <v>161098.11595828168</v>
      </c>
      <c r="O35" s="113">
        <f t="shared" si="7"/>
        <v>2.4723310203722759E-2</v>
      </c>
      <c r="P35" s="114">
        <f t="shared" si="8"/>
        <v>0.7740430876702461</v>
      </c>
      <c r="Q35" s="115">
        <f t="shared" si="4"/>
        <v>1</v>
      </c>
      <c r="R35" s="30">
        <f>IF(M35=Year_Open_to_Traffic?,Calculations!$J$5,Calculations!R34+(Calculations!R34*Calculations!O35*Q35))</f>
        <v>596241.36092970404</v>
      </c>
      <c r="S35" s="45">
        <f t="shared" si="0"/>
        <v>1</v>
      </c>
      <c r="T35" s="30">
        <f t="shared" si="5"/>
        <v>596.241360929704</v>
      </c>
      <c r="U35" s="31">
        <f>T35/(1+Real_Discount_Rate)^(Calculations!M35-'Assumed Values'!$C$5)</f>
        <v>73.202344592209798</v>
      </c>
    </row>
    <row r="36" spans="1:21" ht="15.75">
      <c r="G36" s="41"/>
      <c r="H36" s="41"/>
      <c r="L36" s="106"/>
      <c r="M36" s="11">
        <f t="shared" si="1"/>
        <v>2050</v>
      </c>
      <c r="N36" s="112">
        <f t="shared" si="6"/>
        <v>165080.99465235358</v>
      </c>
      <c r="O36" s="113">
        <f t="shared" si="7"/>
        <v>2.4723310203722759E-2</v>
      </c>
      <c r="P36" s="114">
        <f t="shared" si="8"/>
        <v>0.79317999503776493</v>
      </c>
      <c r="Q36" s="115">
        <f t="shared" si="4"/>
        <v>1</v>
      </c>
      <c r="R36" s="30">
        <f>IF(M36=Year_Open_to_Traffic?,Calculations!$J$5,Calculations!R35+(Calculations!R35*Calculations!O36*Q36))</f>
        <v>610982.42105225893</v>
      </c>
      <c r="S36" s="45">
        <f t="shared" si="0"/>
        <v>1</v>
      </c>
      <c r="T36" s="30">
        <f t="shared" si="5"/>
        <v>610.98242105225893</v>
      </c>
      <c r="U36" s="31">
        <f>T36/(1+Real_Discount_Rate)^(Calculations!M36-'Assumed Values'!$C$5)</f>
        <v>70.104812023554032</v>
      </c>
    </row>
    <row r="37" spans="1:21">
      <c r="M37" s="39"/>
      <c r="N37" s="39"/>
      <c r="O37" s="118"/>
      <c r="P37" s="120"/>
      <c r="Q37" s="39"/>
      <c r="R37" s="39"/>
      <c r="S37" s="39"/>
      <c r="T37" s="39"/>
      <c r="U37" s="31">
        <f>SUM(U4:U36)</f>
        <v>3509.5207727269103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40" t="s">
        <v>147</v>
      </c>
      <c r="C12" s="141"/>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2"/>
      <c r="T12" s="142"/>
      <c r="U12" s="142"/>
      <c r="V12" s="142"/>
      <c r="W12" s="142"/>
      <c r="X12" s="142"/>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2"/>
      <c r="T26" s="142"/>
      <c r="U26" s="142"/>
      <c r="V26" s="142"/>
      <c r="W26" s="142"/>
      <c r="X26" s="142"/>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3" t="s">
        <v>199</v>
      </c>
      <c r="C24" s="143"/>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CA25F-E2F7-42CA-BE57-DE0317A1A31A}"/>
</file>

<file path=customXml/itemProps2.xml><?xml version="1.0" encoding="utf-8"?>
<ds:datastoreItem xmlns:ds="http://schemas.openxmlformats.org/officeDocument/2006/customXml" ds:itemID="{1AD877EE-847E-4D92-B0C6-BD83A8A6BE33}"/>
</file>

<file path=customXml/itemProps3.xml><?xml version="1.0" encoding="utf-8"?>
<ds:datastoreItem xmlns:ds="http://schemas.openxmlformats.org/officeDocument/2006/customXml" ds:itemID="{AF9688BD-B85D-4E8D-A9C9-DFC51E96F54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