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P:\Infrastructure Planning Branch\Infrastructure Planning &amp; Prioritization\HGAC Coordination\2018 TIP\Antoine (N-2013T-0013, N-100030)\"/>
    </mc:Choice>
  </mc:AlternateContent>
  <xr:revisionPtr revIDLastSave="0" documentId="10_ncr:100000_{7FF2D4C5-7D92-49FC-9208-906DBAB8F046}" xr6:coauthVersionLast="31" xr6:coauthVersionMax="31" xr10:uidLastSave="{00000000-0000-0000-0000-000000000000}"/>
  <bookViews>
    <workbookView xWindow="0" yWindow="0" windowWidth="20580" windowHeight="9690"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Outputs'!$B$1:$H$37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17"/>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R8" i="12" s="1"/>
  <c r="K10" i="5"/>
  <c r="K12" i="5"/>
  <c r="K8" i="5"/>
  <c r="K14" i="5"/>
  <c r="K7" i="5"/>
  <c r="K5" i="5"/>
  <c r="K6" i="5"/>
  <c r="K13" i="5"/>
  <c r="K11" i="5"/>
  <c r="K9" i="5"/>
  <c r="I13" i="5"/>
  <c r="M9" i="12"/>
  <c r="S9" i="12" s="1"/>
  <c r="I7" i="5"/>
  <c r="I8" i="5"/>
  <c r="I10" i="5"/>
  <c r="I9" i="5"/>
  <c r="I14" i="5"/>
  <c r="I12" i="5"/>
  <c r="I5" i="5"/>
  <c r="I6" i="5"/>
  <c r="I11" i="5"/>
  <c r="I4" i="5"/>
  <c r="P9" i="12" l="1"/>
  <c r="Q9" i="12" s="1"/>
  <c r="R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R10" i="12" s="1"/>
  <c r="R11" i="12" s="1"/>
  <c r="R12" i="12" s="1"/>
  <c r="R13" i="12" s="1"/>
  <c r="R14" i="12" s="1"/>
  <c r="R15" i="12" s="1"/>
  <c r="R16" i="12" s="1"/>
  <c r="R17" i="12" s="1"/>
  <c r="R18" i="12" s="1"/>
  <c r="R19" i="12" s="1"/>
  <c r="R20" i="12" s="1"/>
  <c r="R21" i="12" s="1"/>
  <c r="R22" i="12" s="1"/>
  <c r="H21" i="7"/>
  <c r="I21" i="7" s="1"/>
  <c r="J21" i="7" s="1"/>
  <c r="G22" i="7"/>
  <c r="I29" i="5"/>
  <c r="B13" i="5"/>
  <c r="S23" i="12"/>
  <c r="P24" i="12"/>
  <c r="Q23" i="12"/>
  <c r="M24" i="12"/>
  <c r="R23" i="12" l="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<sst xmlns="http://schemas.openxmlformats.org/spreadsheetml/2006/main" count="440" uniqueCount="285">
  <si>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</si>
  <si>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</si>
  <si>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</si>
  <si>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</si>
  <si>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</si>
  <si>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</si>
  <si>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</si>
  <si>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</si>
  <si>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</si>
  <si>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</si>
  <si>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</si>
  <si>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</si>
  <si>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</si>
  <si>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</si>
  <si>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</si>
  <si>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</si>
  <si>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</si>
  <si>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</si>
  <si>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</si>
  <si>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</si>
  <si>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</si>
  <si>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</si>
  <si>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</si>
  <si>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</si>
  <si>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</si>
  <si>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</si>
  <si>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</si>
  <si>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</si>
  <si>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</si>
  <si>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</si>
  <si>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</si>
  <si>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</si>
  <si>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</si>
  <si>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</si>
  <si>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</si>
  <si>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</si>
  <si>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</si>
  <si>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</si>
  <si>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</si>
  <si>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</si>
  <si>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</si>
  <si>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</si>
  <si>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</si>
  <si>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</si>
  <si>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</si>
  <si>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</si>
  <si>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</si>
  <si>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</si>
  <si>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</si>
  <si>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</si>
  <si>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</si>
  <si>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</si>
  <si>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</si>
  <si>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</si>
  <si>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</si>
  <si>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</si>
  <si>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</si>
  <si>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</si>
  <si>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</si>
  <si>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</si>
  <si>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</si>
  <si>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</si>
  <si>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</si>
  <si>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</si>
  <si>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</si>
  <si>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</si>
  <si>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</si>
  <si>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</si>
  <si>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</si>
  <si>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</si>
  <si>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</si>
  <si>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</si>
  <si>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</si>
  <si>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</si>
  <si>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</si>
  <si>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</si>
  <si>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</si>
  <si>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</si>
  <si>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</si>
  <si>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</si>
  <si>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</si>
  <si>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</si>
  <si>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</si>
  <si>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</si>
  <si>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</si>
  <si>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</si>
  <si>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</si>
  <si>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</si>
  <si>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</si>
  <si>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</si>
  <si>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</si>
  <si>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</si>
  <si>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</si>
  <si>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</si>
  <si>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</si>
  <si>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</si>
  <si>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</si>
  <si>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</si>
  <si>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</si>
  <si>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</si>
  <si>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</si>
  <si>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</si>
  <si>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</si>
  <si>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</si>
  <si>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</si>
  <si>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</si>
  <si>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</si>
  <si>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</si>
  <si>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</si>
  <si>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</si>
  <si>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</si>
  <si>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</si>
  <si>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</si>
  <si>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</si>
  <si>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</si>
  <si>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</si>
  <si>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</si>
  <si>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</si>
  <si>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</si>
  <si>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</si>
  <si>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</si>
  <si>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</si>
  <si>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</si>
  <si>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</si>
  <si>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</si>
  <si>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</si>
  <si>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</si>
  <si>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</si>
  <si>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</si>
  <si>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</si>
  <si>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</si>
  <si>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</si>
  <si>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</si>
  <si>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</si>
  <si>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</si>
  <si>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</si>
  <si>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</si>
  <si>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</si>
  <si>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</si>
  <si>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</si>
  <si>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</si>
  <si>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</si>
  <si>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</si>
  <si>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</si>
  <si>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</si>
  <si>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</si>
  <si>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</si>
  <si>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</si>
  <si>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</si>
  <si>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</si>
  <si>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</si>
  <si>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</si>
  <si>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</si>
  <si>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</si>
  <si>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</si>
  <si>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</si>
  <si>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</si>
  <si>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</si>
  <si>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</si>
  <si>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</si>
  <si>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</si>
  <si>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</si>
  <si>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</si>
  <si>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</si>
  <si>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</si>
  <si>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</si>
  <si>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</si>
  <si>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</si>
  <si>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</si>
  <si>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</si>
  <si>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</si>
  <si>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</si>
  <si>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</si>
  <si>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</si>
  <si>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</si>
  <si>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</si>
  <si>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</si>
  <si>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</si>
  <si>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</si>
  <si>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</si>
  <si>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</si>
  <si>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</si>
  <si>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</si>
  <si>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</si>
  <si>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</si>
  <si>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</si>
  <si>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</si>
  <si>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</si>
  <si>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</si>
  <si>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</si>
  <si>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</si>
  <si>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</si>
  <si>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</si>
  <si>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</si>
  <si>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</si>
  <si>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</si>
  <si>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</si>
  <si>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</si>
  <si>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</si>
  <si>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</si>
  <si>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</si>
  <si>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</si>
  <si>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</si>
  <si>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</si>
  <si>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</si>
  <si>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</si>
  <si>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</si>
  <si>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</si>
  <si>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</si>
  <si>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</si>
  <si>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</si>
  <si>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</si>
  <si>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</si>
  <si>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</si>
  <si>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</si>
  <si>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</si>
  <si>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</si>
  <si>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</si>
  <si>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</si>
  <si>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</si>
  <si>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</si>
  <si>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</si>
  <si>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</si>
  <si>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</si>
  <si>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</si>
  <si>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</si>
  <si>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</si>
  <si>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</si>
  <si>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</si>
  <si>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</si>
  <si>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</si>
  <si>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</si>
  <si>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</si>
  <si>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</si>
  <si>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</si>
  <si>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</si>
  <si>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</si>
  <si>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</si>
  <si>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</si>
  <si>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</si>
  <si>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</si>
  <si>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</si>
  <si>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</si>
  <si>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</si>
  <si>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</si>
  <si>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</si>
  <si>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</si>
  <si>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</si>
  <si>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</si>
  <si>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</si>
  <si>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</si>
  <si>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</si>
  <si>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</si>
  <si>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</si>
  <si>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</si>
  <si>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</si>
  <si>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</si>
  <si>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</si>
  <si>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</si>
  <si>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</si>
  <si>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</si>
  <si>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</si>
  <si>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</si>
  <si>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</si>
  <si>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</si>
  <si>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</si>
  <si>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</si>
  <si>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</si>
  <si>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</si>
  <si>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</si>
  <si>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</si>
  <si>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</si>
  <si>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</si>
  <si>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</si>
  <si>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</si>
  <si>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</si>
  <si>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</si>
  <si>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</si>
  <si>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</si>
  <si>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</si>
  <si>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</si>
  <si>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 xml:space="preserve">Antoine </t>
  </si>
  <si>
    <t xml:space="preserve">Antoine Drive </t>
  </si>
  <si>
    <t>US 290</t>
  </si>
  <si>
    <t>W. Mount Houston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</si>
</sst>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topLeftCell="A25" zoomScaleNormal="100" workbookViewId="0">
      <selection activeCell="I29" sqref="I29"/>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x14ac:dyDescent="0.25">
      <c r="B6" s="4" t="s">
        <v>166</v>
      </c>
      <c r="C6" s="120" t="s">
        <v>281</v>
      </c>
      <c r="D6" s="94"/>
    </row>
    <row r="7" spans="2:19" x14ac:dyDescent="0.25">
      <c r="B7" s="4" t="s">
        <v>117</v>
      </c>
      <c r="C7" s="121" t="s">
        <v>118</v>
      </c>
      <c r="D7" s="64"/>
      <c r="E7" s="4"/>
      <c r="F7" t="s">
        <v>257</v>
      </c>
    </row>
    <row r="8" spans="2:19" x14ac:dyDescent="0.25">
      <c r="B8" s="4" t="s">
        <v>126</v>
      </c>
      <c r="C8" s="121" t="s">
        <v>128</v>
      </c>
      <c r="D8" s="64"/>
      <c r="E8" s="86"/>
      <c r="F8" t="s">
        <v>263</v>
      </c>
    </row>
    <row r="9" spans="2:19" x14ac:dyDescent="0.25">
      <c r="B9" s="4" t="s">
        <v>167</v>
      </c>
      <c r="C9" s="121" t="s">
        <v>282</v>
      </c>
      <c r="D9" s="64"/>
      <c r="E9" s="122"/>
      <c r="F9" t="s">
        <v>268</v>
      </c>
    </row>
    <row r="10" spans="2:19" x14ac:dyDescent="0.25">
      <c r="B10" s="4" t="s">
        <v>114</v>
      </c>
      <c r="C10" s="121" t="s">
        <v>283</v>
      </c>
      <c r="D10" s="64"/>
      <c r="E10" s="9"/>
      <c r="F10" t="s">
        <v>258</v>
      </c>
    </row>
    <row r="11" spans="2:19" x14ac:dyDescent="0.25">
      <c r="B11" s="4" t="s">
        <v>115</v>
      </c>
      <c r="C11" s="121" t="s">
        <v>284</v>
      </c>
      <c r="D11" s="64"/>
    </row>
    <row r="12" spans="2:19" x14ac:dyDescent="0.25">
      <c r="B12" s="4" t="s">
        <v>116</v>
      </c>
      <c r="C12" s="121">
        <v>4.2</v>
      </c>
      <c r="D12" s="95"/>
      <c r="N12" s="180"/>
      <c r="O12" s="180"/>
      <c r="P12" s="180"/>
      <c r="Q12" s="180"/>
      <c r="R12" s="180"/>
      <c r="S12" s="180"/>
    </row>
    <row r="13" spans="2:19" x14ac:dyDescent="0.25">
      <c r="B13" s="4" t="s">
        <v>77</v>
      </c>
      <c r="C13" s="121"/>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2025</v>
      </c>
      <c r="D17" s="96"/>
    </row>
    <row r="18" spans="2:13" x14ac:dyDescent="0.25">
      <c r="B18" s="4" t="s">
        <v>259</v>
      </c>
      <c r="C18" s="120" t="s">
        <v>190</v>
      </c>
      <c r="D18" s="26"/>
    </row>
    <row r="19" spans="2:13" x14ac:dyDescent="0.25">
      <c r="B19" s="122" t="s">
        <v>251</v>
      </c>
      <c r="C19" s="174">
        <f>VLOOKUP(C18,'CRF Lookup Table'!C3:F84,2, FALSE)</f>
        <v>514</v>
      </c>
      <c r="D19" s="97"/>
    </row>
    <row r="20" spans="2:13" x14ac:dyDescent="0.25">
      <c r="B20" s="122" t="s">
        <v>102</v>
      </c>
      <c r="C20" s="175">
        <f>VLOOKUP(C18,'CRF Lookup Table'!C3:F84,3, FALSE)</f>
        <v>0.8</v>
      </c>
      <c r="D20" s="98"/>
      <c r="F20" s="68"/>
    </row>
    <row r="21" spans="2:13" x14ac:dyDescent="0.25">
      <c r="B21" s="122" t="s">
        <v>101</v>
      </c>
      <c r="C21" s="176">
        <f>VLOOKUP(C18,'CRF Lookup Table'!C3:F84,4, FALSE)</f>
        <v>30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31680</v>
      </c>
      <c r="D25" s="99"/>
      <c r="I25" s="49"/>
    </row>
    <row r="26" spans="2:13" x14ac:dyDescent="0.25">
      <c r="I26" s="49"/>
    </row>
    <row r="27" spans="2:13" x14ac:dyDescent="0.25">
      <c r="B27" s="86" t="s">
        <v>269</v>
      </c>
      <c r="C27" s="87">
        <v>13481</v>
      </c>
      <c r="D27" s="99"/>
      <c r="I27" s="49"/>
    </row>
    <row r="28" spans="2:13" x14ac:dyDescent="0.25">
      <c r="B28" s="86" t="s">
        <v>150</v>
      </c>
      <c r="C28" s="87">
        <v>11568</v>
      </c>
      <c r="D28" s="99"/>
      <c r="I28" s="49"/>
    </row>
    <row r="29" spans="2:13" x14ac:dyDescent="0.25">
      <c r="B29" s="86" t="s">
        <v>270</v>
      </c>
      <c r="C29" s="88">
        <v>9194</v>
      </c>
      <c r="D29" s="69"/>
      <c r="I29" s="49"/>
    </row>
    <row r="30" spans="2:13" x14ac:dyDescent="0.25">
      <c r="B30" s="86" t="s">
        <v>151</v>
      </c>
      <c r="C30" s="88">
        <v>13896</v>
      </c>
      <c r="D30" s="69"/>
      <c r="I30" s="49"/>
    </row>
    <row r="31" spans="2:13" x14ac:dyDescent="0.25">
      <c r="B31" s="86" t="s">
        <v>271</v>
      </c>
      <c r="C31" s="87">
        <v>11659</v>
      </c>
      <c r="D31" s="99"/>
      <c r="H31" s="70"/>
    </row>
    <row r="32" spans="2:13" x14ac:dyDescent="0.25">
      <c r="B32" s="86" t="s">
        <v>152</v>
      </c>
      <c r="C32" s="87">
        <v>13896</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88407.318649952605</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86"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21605.661301090426</v>
      </c>
      <c r="G4" s="183" t="s">
        <v>260</v>
      </c>
      <c r="H4" s="183"/>
      <c r="I4" s="183"/>
      <c r="J4" s="183"/>
      <c r="L4" s="136"/>
      <c r="M4" s="137">
        <v>2018</v>
      </c>
      <c r="N4" s="138">
        <f>_2018_Volume_ADT</f>
        <v>31680</v>
      </c>
      <c r="O4" s="139" t="s">
        <v>85</v>
      </c>
      <c r="P4" s="140">
        <f>MIN(B12,1)</f>
        <v>1</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30</v>
      </c>
      <c r="D5" s="134" t="s">
        <v>145</v>
      </c>
      <c r="E5" s="135">
        <f>$E$4*'Inputs &amp; Outputs'!$C$12</f>
        <v>90743.777464579791</v>
      </c>
      <c r="G5" s="184" t="s">
        <v>261</v>
      </c>
      <c r="H5" s="184"/>
      <c r="I5" s="184"/>
      <c r="J5" s="143">
        <f>SUMPRODUCT(Possible_Crash_Reductions,'Value of Statistical Life'!E5:E11)</f>
        <v>10061525.003007658</v>
      </c>
      <c r="L5" s="136"/>
      <c r="M5" s="144">
        <f t="shared" ref="M5:M36" si="1">M4+1</f>
        <v>2019</v>
      </c>
      <c r="N5" s="145">
        <f>N4+(N4*O5)</f>
        <v>29994.373846184357</v>
      </c>
      <c r="O5" s="146">
        <f t="shared" ref="O5:O11" si="2">IF(ISERROR(_2025_2045_Demand_Growth),_2018_2045_Demand_Growth,_2018_2025_Demand_Growth)</f>
        <v>-5.320789626943323E-2</v>
      </c>
      <c r="P5" s="147">
        <f t="shared" ref="P5:P11" si="3">P4*(1+IFERROR(_2018_2025_V_C_Growth,_2018_2045_V_C_Growth))</f>
        <v>0.92231377509290524</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23593382.140790746</v>
      </c>
      <c r="L6" s="136"/>
      <c r="M6" s="137">
        <f t="shared" si="1"/>
        <v>2020</v>
      </c>
      <c r="N6" s="145">
        <f t="shared" ref="N6:N36" si="6">N5+(N5*O6)</f>
        <v>28398.436313909977</v>
      </c>
      <c r="O6" s="146">
        <f t="shared" si="2"/>
        <v>-5.320789626943323E-2</v>
      </c>
      <c r="P6" s="147">
        <f t="shared" si="3"/>
        <v>0.85066269972612618</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26887.415260305348</v>
      </c>
      <c r="O7" s="146">
        <f t="shared" si="2"/>
        <v>-5.320789626943323E-2</v>
      </c>
      <c r="P7" s="147">
        <f t="shared" si="3"/>
        <v>0.78457792591512587</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25456.792458181844</v>
      </c>
      <c r="O8" s="146">
        <f t="shared" si="2"/>
        <v>-5.320789626943323E-2</v>
      </c>
      <c r="P8" s="147">
        <f t="shared" si="3"/>
        <v>0.72362702870534146</v>
      </c>
      <c r="Q8" s="148">
        <f t="shared" si="4"/>
        <v>1</v>
      </c>
      <c r="R8" s="37">
        <f>IF(M8=Year_Open_to_Traffic?,Calculations!$J$5,Calculations!R7+(Calculations!R7*Calculations!O8*Q8))</f>
        <v>0</v>
      </c>
      <c r="S8" s="54">
        <f t="shared" si="0"/>
        <v>0</v>
      </c>
      <c r="T8" s="37">
        <f t="shared" si="5"/>
        <v>0</v>
      </c>
      <c r="U8" s="142">
        <f>T8/(1+Real_Discount_Rate)^(Calculations!M8-'Assumed Values'!$C$5)</f>
        <v>0</v>
      </c>
    </row>
    <row r="9" spans="1:21" ht="15.75" x14ac:dyDescent="0.25">
      <c r="A9" s="152" t="s">
        <v>76</v>
      </c>
      <c r="B9" s="153">
        <f>(_2025_Peak_Period_Volume/'Inputs &amp; Outputs'!$C$27)^(1/(2025-2018))-1</f>
        <v>-5.320789626943323E-2</v>
      </c>
      <c r="D9" s="152" t="s">
        <v>137</v>
      </c>
      <c r="E9" s="154">
        <f>IF('Inputs &amp; Outputs'!$C$8='CRASH RATES'!$D$3, VLOOKUP('Inputs &amp; Outputs'!$C$7,'CRASH RATES'!$C$14:$J$21,3,FALSE), VLOOKUP('Inputs &amp; Outputs'!$C$7,'CRASH RATES'!$C$28:$J$35,3,FALSE))</f>
        <v>1.7455741549787349</v>
      </c>
      <c r="F9" s="155"/>
      <c r="L9" s="136"/>
      <c r="M9" s="144">
        <f t="shared" si="1"/>
        <v>2023</v>
      </c>
      <c r="N9" s="145">
        <f t="shared" si="6"/>
        <v>24102.290085714416</v>
      </c>
      <c r="O9" s="146">
        <f t="shared" si="2"/>
        <v>-5.320789626943323E-2</v>
      </c>
      <c r="P9" s="147">
        <f t="shared" si="3"/>
        <v>0.66741117660448557</v>
      </c>
      <c r="Q9" s="148">
        <f t="shared" si="4"/>
        <v>1</v>
      </c>
      <c r="R9" s="37">
        <f>IF(M9=Year_Open_to_Traffic?,Calculations!$J$5,Calculations!R8+(Calculations!R8*Calculations!O9*Q9))</f>
        <v>0</v>
      </c>
      <c r="S9" s="54">
        <f t="shared" si="0"/>
        <v>0</v>
      </c>
      <c r="T9" s="37">
        <f t="shared" si="5"/>
        <v>0</v>
      </c>
      <c r="U9" s="142">
        <f>T9/(1+Real_Discount_Rate)^(Calculations!M9-'Assumed Values'!$C$5)</f>
        <v>0</v>
      </c>
    </row>
    <row r="10" spans="1:21" ht="15.75" x14ac:dyDescent="0.25">
      <c r="A10" s="152" t="s">
        <v>106</v>
      </c>
      <c r="B10" s="153">
        <f>(_2045_Peak_Period_Volume/_2025_Peak_Period_Volume)^(1/(2045-2025))-1</f>
        <v>1.1947169881650233E-2</v>
      </c>
      <c r="D10" s="152" t="s">
        <v>138</v>
      </c>
      <c r="E10" s="154">
        <f>IF('Inputs &amp; Outputs'!$C$8='CRASH RATES'!$D$3, VLOOKUP('Inputs &amp; Outputs'!$C$7,'CRASH RATES'!$C$14:$J$21,4,FALSE), VLOOKUP('Inputs &amp; Outputs'!$C$7,'CRASH RATES'!$C$28:$J$35,4,FALSE))</f>
        <v>8.8235958091989612</v>
      </c>
      <c r="F10" s="155"/>
      <c r="L10" s="136"/>
      <c r="M10" s="137">
        <f t="shared" si="1"/>
        <v>2024</v>
      </c>
      <c r="N10" s="145">
        <f t="shared" si="6"/>
        <v>22819.857934977936</v>
      </c>
      <c r="O10" s="146">
        <f t="shared" si="2"/>
        <v>-5.320789626943323E-2</v>
      </c>
      <c r="P10" s="147">
        <f t="shared" si="3"/>
        <v>0.61556252183328075</v>
      </c>
      <c r="Q10" s="148">
        <f t="shared" si="4"/>
        <v>1</v>
      </c>
      <c r="R10" s="37">
        <f>IF(M10=Year_Open_to_Traffic?,Calculations!$J$5,Calculations!R9+(Calculations!R9*Calculations!O10*Q10))</f>
        <v>0</v>
      </c>
      <c r="S10" s="54">
        <f t="shared" si="0"/>
        <v>0</v>
      </c>
      <c r="T10" s="37">
        <f t="shared" si="5"/>
        <v>0</v>
      </c>
      <c r="U10" s="142">
        <f>T10/(1+Real_Discount_Rate)^(Calculations!M10-'Assumed Values'!$C$5)</f>
        <v>0</v>
      </c>
    </row>
    <row r="11" spans="1:21" ht="15.75" x14ac:dyDescent="0.25">
      <c r="A11" s="152" t="s">
        <v>107</v>
      </c>
      <c r="B11" s="153">
        <f>(_2045_Peak_Period_Volume/'Inputs &amp; Outputs'!$C$27)^(1/(2045-2018))-1</f>
        <v>-5.3634492451624105E-3</v>
      </c>
      <c r="D11" s="152" t="s">
        <v>139</v>
      </c>
      <c r="E11" s="154">
        <f>IF('Inputs &amp; Outputs'!$C$8='CRASH RATES'!$D$3, VLOOKUP('Inputs &amp; Outputs'!$C$7,'CRASH RATES'!$C$14:$J$21,5,FALSE), VLOOKUP('Inputs &amp; Outputs'!$C$7,'CRASH RATES'!$C$28:$J$35,5,FALSE))</f>
        <v>49.782648723119337</v>
      </c>
      <c r="F11" s="155"/>
      <c r="L11" s="136"/>
      <c r="M11" s="144">
        <f t="shared" si="1"/>
        <v>2025</v>
      </c>
      <c r="N11" s="145">
        <f t="shared" si="6"/>
        <v>21605.661301090426</v>
      </c>
      <c r="O11" s="146">
        <f t="shared" si="2"/>
        <v>-5.320789626943323E-2</v>
      </c>
      <c r="P11" s="147">
        <f t="shared" si="3"/>
        <v>0.56774179331776209</v>
      </c>
      <c r="Q11" s="148">
        <f t="shared" si="4"/>
        <v>1</v>
      </c>
      <c r="R11" s="37">
        <f>IF(M11=Year_Open_to_Traffic?,Calculations!$J$5,Calculations!R10+(Calculations!R10*Calculations!O11*Q11))</f>
        <v>10061525.003007658</v>
      </c>
      <c r="S11" s="54">
        <f t="shared" si="0"/>
        <v>1</v>
      </c>
      <c r="T11" s="37">
        <f t="shared" si="5"/>
        <v>10061.525003007659</v>
      </c>
      <c r="U11" s="142">
        <f>T11/(1+Real_Discount_Rate)^(Calculations!M11-'Assumed Values'!$C$5)</f>
        <v>6265.8120985883788</v>
      </c>
    </row>
    <row r="12" spans="1:21" ht="15.75" x14ac:dyDescent="0.25">
      <c r="A12" s="152" t="s">
        <v>75</v>
      </c>
      <c r="B12" s="156">
        <f>'Inputs &amp; Outputs'!C27/_2018_Peak_Period_Capacity</f>
        <v>1.1653699861687414</v>
      </c>
      <c r="D12" s="152" t="s">
        <v>140</v>
      </c>
      <c r="E12" s="154">
        <f>IF('Inputs &amp; Outputs'!$C$8='CRASH RATES'!$D$3, VLOOKUP('Inputs &amp; Outputs'!$C$7,'CRASH RATES'!$C$14:$J$21,6,FALSE), VLOOKUP('Inputs &amp; Outputs'!$C$7,'CRASH RATES'!$C$28:$J$35,6,FALSE))</f>
        <v>124.27924895011503</v>
      </c>
      <c r="F12" s="155"/>
      <c r="L12" s="136"/>
      <c r="M12" s="137">
        <f t="shared" si="1"/>
        <v>2026</v>
      </c>
      <c r="N12" s="145">
        <f t="shared" si="6"/>
        <v>21863.787807059951</v>
      </c>
      <c r="O12" s="146">
        <f t="shared" ref="O12:O36" si="7">IFERROR(_2025_2045_Demand_Growth,_2018_2045_Demand_Growth)</f>
        <v>1.1947169881650233E-2</v>
      </c>
      <c r="P12" s="147">
        <f t="shared" ref="P12:P36" si="8">P11*(1+IFERROR(_2025_2040_V_C_Growth,_2018_2045_V_C_Growth))</f>
        <v>0.57452470097144215</v>
      </c>
      <c r="Q12" s="148">
        <f t="shared" si="4"/>
        <v>1</v>
      </c>
      <c r="R12" s="37">
        <f>IF(M12=Year_Open_to_Traffic?,Calculations!$J$5,Calculations!R11+(Calculations!R11*Calculations!O12*Q12))</f>
        <v>10181731.751487061</v>
      </c>
      <c r="S12" s="54">
        <f t="shared" si="0"/>
        <v>1</v>
      </c>
      <c r="T12" s="37">
        <f t="shared" si="5"/>
        <v>10181.731751487061</v>
      </c>
      <c r="U12" s="142">
        <f>T12/(1+Real_Discount_Rate)^(Calculations!M12-'Assumed Values'!$C$5)</f>
        <v>5925.8605796044048</v>
      </c>
    </row>
    <row r="13" spans="1:21" ht="15.75" x14ac:dyDescent="0.25">
      <c r="A13" s="152" t="s">
        <v>74</v>
      </c>
      <c r="B13" s="156">
        <f>_2025_Peak_Period_Volume/_2025_Peak_Period_Capacity</f>
        <v>0.66162924582613702</v>
      </c>
      <c r="D13" s="152" t="s">
        <v>141</v>
      </c>
      <c r="E13" s="154">
        <f>IF('Inputs &amp; Outputs'!$C$8='CRASH RATES'!$D$3, VLOOKUP('Inputs &amp; Outputs'!$C$7,'CRASH RATES'!$C$14:$J$21,7,FALSE), VLOOKUP('Inputs &amp; Outputs'!$C$7,'CRASH RATES'!$C$28:$J$35,7,FALSE))</f>
        <v>963.65828946693784</v>
      </c>
      <c r="F13" s="155"/>
      <c r="L13" s="136"/>
      <c r="M13" s="144">
        <f t="shared" si="1"/>
        <v>2027</v>
      </c>
      <c r="N13" s="145">
        <f t="shared" si="6"/>
        <v>22124.998194247248</v>
      </c>
      <c r="O13" s="146">
        <f t="shared" si="7"/>
        <v>1.1947169881650233E-2</v>
      </c>
      <c r="P13" s="147">
        <f t="shared" si="8"/>
        <v>0.58138864517515232</v>
      </c>
      <c r="Q13" s="148">
        <f t="shared" si="4"/>
        <v>1</v>
      </c>
      <c r="R13" s="37">
        <f>IF(M13=Year_Open_to_Traffic?,Calculations!$J$5,Calculations!R12+(Calculations!R12*Calculations!O13*Q13))</f>
        <v>10303374.63041147</v>
      </c>
      <c r="S13" s="54">
        <f t="shared" si="0"/>
        <v>1</v>
      </c>
      <c r="T13" s="37">
        <f t="shared" si="5"/>
        <v>10303.37463041147</v>
      </c>
      <c r="U13" s="142">
        <f>T13/(1+Real_Discount_Rate)^(Calculations!M13-'Assumed Values'!$C$5)</f>
        <v>5604.3531239662734</v>
      </c>
    </row>
    <row r="14" spans="1:21" ht="15.75" x14ac:dyDescent="0.25">
      <c r="A14" s="152" t="s">
        <v>148</v>
      </c>
      <c r="B14" s="156">
        <f>_2045_Peak_Period_Volume/_2045_Peak_Period_Capacity</f>
        <v>0.83901842256764536</v>
      </c>
      <c r="D14" s="152" t="s">
        <v>142</v>
      </c>
      <c r="E14" s="154">
        <f>IF('Inputs &amp; Outputs'!$C$8='CRASH RATES'!$D$3, VLOOKUP('Inputs &amp; Outputs'!$C$7,'CRASH RATES'!$C$14:$J$21,8,FALSE), VLOOKUP('Inputs &amp; Outputs'!$C$7,'CRASH RATES'!$C$28:$J$35,8,FALSE))</f>
        <v>83.618632907852302</v>
      </c>
      <c r="F14" s="155"/>
      <c r="L14" s="136"/>
      <c r="M14" s="137">
        <f>M13+1</f>
        <v>2028</v>
      </c>
      <c r="N14" s="145">
        <f t="shared" si="6"/>
        <v>22389.329306305124</v>
      </c>
      <c r="O14" s="146">
        <f t="shared" si="7"/>
        <v>1.1947169881650233E-2</v>
      </c>
      <c r="P14" s="147">
        <f>P13*(1+IFERROR(_2025_2040_V_C_Growth,_2018_2045_V_C_Growth))</f>
        <v>0.58833459408632238</v>
      </c>
      <c r="Q14" s="148">
        <f t="shared" si="4"/>
        <v>1</v>
      </c>
      <c r="R14" s="37">
        <f>IF(M14=Year_Open_to_Traffic?,Calculations!$J$5,Calculations!R13+(Calculations!R13*Calculations!O14*Q14))</f>
        <v>10426470.797475282</v>
      </c>
      <c r="S14" s="54">
        <f t="shared" si="0"/>
        <v>1</v>
      </c>
      <c r="T14" s="37">
        <f t="shared" si="5"/>
        <v>10426.470797475282</v>
      </c>
      <c r="U14" s="142">
        <f>T14/(1+Real_Discount_Rate)^(Calculations!M14-'Assumed Values'!$C$5)</f>
        <v>5300.2890493598661</v>
      </c>
    </row>
    <row r="15" spans="1:21" ht="15.75" x14ac:dyDescent="0.25">
      <c r="A15" s="152" t="s">
        <v>80</v>
      </c>
      <c r="B15" s="153">
        <f>(B13/B12)^(1/(2025-2018))-1</f>
        <v>-7.7686224907094759E-2</v>
      </c>
      <c r="L15" s="136"/>
      <c r="M15" s="144">
        <f>M14+1</f>
        <v>2029</v>
      </c>
      <c r="N15" s="145">
        <f t="shared" si="6"/>
        <v>22656.818427063761</v>
      </c>
      <c r="O15" s="146">
        <f t="shared" si="7"/>
        <v>1.1947169881650233E-2</v>
      </c>
      <c r="P15" s="147">
        <f>P14*(1+IFERROR(_2025_2040_V_C_Growth,_2018_2045_V_C_Growth))</f>
        <v>0.59536352742912346</v>
      </c>
      <c r="Q15" s="148">
        <f t="shared" si="4"/>
        <v>1</v>
      </c>
      <c r="R15" s="37">
        <f>IF(M15=Year_Open_to_Traffic?,Calculations!$J$5,Calculations!R14+(Calculations!R14*Calculations!O15*Q15))</f>
        <v>10551037.615358785</v>
      </c>
      <c r="S15" s="54">
        <f t="shared" si="0"/>
        <v>1</v>
      </c>
      <c r="T15" s="37">
        <f t="shared" si="5"/>
        <v>10551.037615358784</v>
      </c>
      <c r="U15" s="142">
        <f>T15/(1+Real_Discount_Rate)^(Calculations!M15-'Assumed Values'!$C$5)</f>
        <v>5012.721965471419</v>
      </c>
    </row>
    <row r="16" spans="1:21" ht="15.75" x14ac:dyDescent="0.25">
      <c r="A16" s="152" t="s">
        <v>108</v>
      </c>
      <c r="B16" s="153">
        <f>(B14/B13)^(1/(2045-2025))-1</f>
        <v>1.1947169881650233E-2</v>
      </c>
      <c r="D16" s="157" t="s">
        <v>136</v>
      </c>
      <c r="E16" s="151"/>
      <c r="L16" s="136"/>
      <c r="M16" s="137">
        <f t="shared" si="1"/>
        <v>2030</v>
      </c>
      <c r="N16" s="145">
        <f t="shared" si="6"/>
        <v>22927.503285789597</v>
      </c>
      <c r="O16" s="146">
        <f t="shared" si="7"/>
        <v>1.1947169881650233E-2</v>
      </c>
      <c r="P16" s="147">
        <f t="shared" si="8"/>
        <v>0.60247643663265771</v>
      </c>
      <c r="Q16" s="148">
        <f t="shared" si="4"/>
        <v>1</v>
      </c>
      <c r="R16" s="37">
        <f>IF(M16=Year_Open_to_Traffic?,Calculations!$J$5,Calculations!R15+(Calculations!R15*Calculations!O16*Q16))</f>
        <v>10677092.654177157</v>
      </c>
      <c r="S16" s="54">
        <f t="shared" si="0"/>
        <v>1</v>
      </c>
      <c r="T16" s="37">
        <f t="shared" si="5"/>
        <v>10677.092654177157</v>
      </c>
      <c r="U16" s="142">
        <f>T16/(1+Real_Discount_Rate)^(Calculations!M16-'Assumed Values'!$C$5)</f>
        <v>4740.756828376062</v>
      </c>
    </row>
    <row r="17" spans="1:21" ht="15.75" x14ac:dyDescent="0.25">
      <c r="A17" s="152" t="s">
        <v>109</v>
      </c>
      <c r="B17" s="153">
        <f>(B14/B12)^(1/(2045-2018))-1</f>
        <v>-1.2095192615318995E-2</v>
      </c>
      <c r="D17" s="152" t="s">
        <v>89</v>
      </c>
      <c r="E17" s="158">
        <f>($E$6*Death_Rate)/100000000</f>
        <v>0.41183998093501178</v>
      </c>
      <c r="L17" s="136"/>
      <c r="M17" s="144">
        <f t="shared" si="1"/>
        <v>2031</v>
      </c>
      <c r="N17" s="145">
        <f t="shared" si="6"/>
        <v>23201.422062507019</v>
      </c>
      <c r="O17" s="146">
        <f t="shared" si="7"/>
        <v>1.1947169881650233E-2</v>
      </c>
      <c r="P17" s="147">
        <f t="shared" si="8"/>
        <v>0.60967432497079932</v>
      </c>
      <c r="Q17" s="148">
        <f t="shared" si="4"/>
        <v>1</v>
      </c>
      <c r="R17" s="37">
        <f>IF(M17=Year_Open_to_Traffic?,Calculations!$J$5,Calculations!R16+(Calculations!R16*Calculations!O17*Q17))</f>
        <v>10804653.693958731</v>
      </c>
      <c r="S17" s="54">
        <f t="shared" si="0"/>
        <v>1</v>
      </c>
      <c r="T17" s="37">
        <f t="shared" si="5"/>
        <v>10804.653693958731</v>
      </c>
      <c r="U17" s="142">
        <f>T17/(1+Real_Discount_Rate)^(Calculations!M17-'Assumed Values'!$C$5)</f>
        <v>4483.5471547404331</v>
      </c>
    </row>
    <row r="18" spans="1:21" ht="15.75" x14ac:dyDescent="0.25">
      <c r="D18" s="152" t="s">
        <v>94</v>
      </c>
      <c r="E18" s="158">
        <f>($E$6*Incap_Injry_Rate)/100000000</f>
        <v>2.0817846778231086</v>
      </c>
      <c r="L18" s="136"/>
      <c r="M18" s="137">
        <f t="shared" si="1"/>
        <v>2032</v>
      </c>
      <c r="N18" s="145">
        <f t="shared" si="6"/>
        <v>23478.613393383657</v>
      </c>
      <c r="O18" s="146">
        <f t="shared" si="7"/>
        <v>1.1947169881650233E-2</v>
      </c>
      <c r="P18" s="147">
        <f t="shared" si="8"/>
        <v>0.61695820770370591</v>
      </c>
      <c r="Q18" s="148">
        <f t="shared" si="4"/>
        <v>1</v>
      </c>
      <c r="R18" s="37">
        <f>IF(M18=Year_Open_to_Traffic?,Calculations!$J$5,Calculations!R17+(Calculations!R17*Calculations!O18*Q18))</f>
        <v>10933738.727152856</v>
      </c>
      <c r="S18" s="54">
        <f t="shared" si="0"/>
        <v>1</v>
      </c>
      <c r="T18" s="37">
        <f t="shared" si="5"/>
        <v>10933.738727152857</v>
      </c>
      <c r="U18" s="142">
        <f>T18/(1+Real_Discount_Rate)^(Calculations!M18-'Assumed Values'!$C$5)</f>
        <v>4240.292387168699</v>
      </c>
    </row>
    <row r="19" spans="1:21" ht="15.75" x14ac:dyDescent="0.25">
      <c r="D19" s="152" t="s">
        <v>93</v>
      </c>
      <c r="E19" s="158">
        <f>($E$6*Nonincap_Injry_Rate)/100000000</f>
        <v>11.745410553053031</v>
      </c>
      <c r="L19" s="136"/>
      <c r="M19" s="144">
        <f t="shared" si="1"/>
        <v>2033</v>
      </c>
      <c r="N19" s="145">
        <f t="shared" si="6"/>
        <v>23759.116376180002</v>
      </c>
      <c r="O19" s="146">
        <f t="shared" si="7"/>
        <v>1.1947169881650233E-2</v>
      </c>
      <c r="P19" s="147">
        <f t="shared" si="8"/>
        <v>0.6243291122210205</v>
      </c>
      <c r="Q19" s="148">
        <f t="shared" si="4"/>
        <v>1</v>
      </c>
      <c r="R19" s="37">
        <f>IF(M19=Year_Open_to_Traffic?,Calculations!$J$5,Calculations!R18+(Calculations!R18*Calculations!O19*Q19))</f>
        <v>11064365.961167729</v>
      </c>
      <c r="S19" s="54">
        <f t="shared" si="0"/>
        <v>1</v>
      </c>
      <c r="T19" s="37">
        <f t="shared" si="5"/>
        <v>11064.365961167729</v>
      </c>
      <c r="U19" s="142">
        <f>T19/(1+Real_Discount_Rate)^(Calculations!M19-'Assumed Values'!$C$5)</f>
        <v>4010.2354024916544</v>
      </c>
    </row>
    <row r="20" spans="1:21" ht="15.75" x14ac:dyDescent="0.25">
      <c r="D20" s="152" t="s">
        <v>92</v>
      </c>
      <c r="E20" s="158">
        <f>($E$6*Poss_Injry_Rate/100000000)</f>
        <v>29.321678126505308</v>
      </c>
      <c r="L20" s="136"/>
      <c r="M20" s="137">
        <f t="shared" si="1"/>
        <v>2034</v>
      </c>
      <c r="N20" s="145">
        <f t="shared" si="6"/>
        <v>24042.97057576412</v>
      </c>
      <c r="O20" s="146">
        <f t="shared" si="7"/>
        <v>1.1947169881650233E-2</v>
      </c>
      <c r="P20" s="147">
        <f t="shared" si="8"/>
        <v>0.63178807818678495</v>
      </c>
      <c r="Q20" s="148">
        <f t="shared" si="4"/>
        <v>1</v>
      </c>
      <c r="R20" s="37">
        <f>IF(M20=Year_Open_to_Traffic?,Calculations!$J$5,Calculations!R19+(Calculations!R19*Calculations!O20*Q20))</f>
        <v>11196553.820938548</v>
      </c>
      <c r="S20" s="54">
        <f t="shared" si="0"/>
        <v>1</v>
      </c>
      <c r="T20" s="37">
        <f t="shared" si="5"/>
        <v>11196.553820938549</v>
      </c>
      <c r="U20" s="142">
        <f>T20/(1+Real_Discount_Rate)^(Calculations!M20-'Assumed Values'!$C$5)</f>
        <v>3792.6601552435804</v>
      </c>
    </row>
    <row r="21" spans="1:21" ht="15.75" x14ac:dyDescent="0.25">
      <c r="D21" s="152" t="s">
        <v>91</v>
      </c>
      <c r="E21" s="158">
        <f>($E$6*Non_Injry_Rate)/100000000</f>
        <v>227.35958276534211</v>
      </c>
      <c r="L21" s="136"/>
      <c r="M21" s="144">
        <f>M20+1</f>
        <v>2035</v>
      </c>
      <c r="N21" s="145">
        <f t="shared" si="6"/>
        <v>24330.216029692292</v>
      </c>
      <c r="O21" s="146">
        <f t="shared" si="7"/>
        <v>1.1947169881650233E-2</v>
      </c>
      <c r="P21" s="147">
        <f>P20*(1+IFERROR(_2025_2040_V_C_Growth,_2018_2045_V_C_Growth))</f>
        <v>0.63933615768608376</v>
      </c>
      <c r="Q21" s="148">
        <f t="shared" si="4"/>
        <v>1</v>
      </c>
      <c r="R21" s="37">
        <f>IF(M21=Year_Open_to_Traffic?,Calculations!$J$5,Calculations!R20+(Calculations!R20*Calculations!O21*Q21))</f>
        <v>11330320.95152634</v>
      </c>
      <c r="S21" s="54">
        <f t="shared" si="0"/>
        <v>1</v>
      </c>
      <c r="T21" s="37">
        <f t="shared" si="5"/>
        <v>11330.320951526341</v>
      </c>
      <c r="U21" s="142">
        <f>T21/(1+Real_Discount_Rate)^(Calculations!M21-'Assumed Values'!$C$5)</f>
        <v>3586.8894489921877</v>
      </c>
    </row>
    <row r="22" spans="1:21" ht="15.75" x14ac:dyDescent="0.25">
      <c r="D22" s="152" t="s">
        <v>90</v>
      </c>
      <c r="E22" s="158">
        <f>($E$6*Unkn_Injry_Rate)/100000000</f>
        <v>19.728463602854596</v>
      </c>
      <c r="L22" s="136"/>
      <c r="M22" s="137">
        <f>M21+1</f>
        <v>2036</v>
      </c>
      <c r="N22" s="145">
        <f t="shared" si="6"/>
        <v>24620.893253856277</v>
      </c>
      <c r="O22" s="146">
        <f t="shared" si="7"/>
        <v>1.1947169881650233E-2</v>
      </c>
      <c r="P22" s="147">
        <f t="shared" si="8"/>
        <v>0.64697441537344091</v>
      </c>
      <c r="Q22" s="148">
        <f t="shared" si="4"/>
        <v>1</v>
      </c>
      <c r="R22" s="37">
        <f>IF(M22=Year_Open_to_Traffic?,Calculations!$J$5,Calculations!R21+(Calculations!R21*Calculations!O22*Q22))</f>
        <v>11465686.220747847</v>
      </c>
      <c r="S22" s="54">
        <f t="shared" si="0"/>
        <v>1</v>
      </c>
      <c r="T22" s="37">
        <f t="shared" si="5"/>
        <v>11465.686220747848</v>
      </c>
      <c r="U22" s="142">
        <f>T22/(1+Real_Discount_Rate)^(Calculations!M22-'Assumed Values'!$C$5)</f>
        <v>3392.2828285850437</v>
      </c>
    </row>
    <row r="23" spans="1:21" ht="15.75" x14ac:dyDescent="0.25">
      <c r="L23" s="136"/>
      <c r="M23" s="144">
        <f t="shared" si="1"/>
        <v>2037</v>
      </c>
      <c r="N23" s="145">
        <f t="shared" si="6"/>
        <v>24915.043248198075</v>
      </c>
      <c r="O23" s="146">
        <f t="shared" si="7"/>
        <v>1.1947169881650233E-2</v>
      </c>
      <c r="P23" s="147">
        <f t="shared" si="8"/>
        <v>0.65470392862298876</v>
      </c>
      <c r="Q23" s="148">
        <f t="shared" si="4"/>
        <v>1</v>
      </c>
      <c r="R23" s="37">
        <f>IF(M23=Year_Open_to_Traffic?,Calculations!$J$5,Calculations!R22+(Calculations!R22*Calculations!O23*Q23))</f>
        <v>11602668.721836818</v>
      </c>
      <c r="S23" s="54">
        <f t="shared" si="0"/>
        <v>1</v>
      </c>
      <c r="T23" s="37">
        <f t="shared" si="5"/>
        <v>11602.668721836819</v>
      </c>
      <c r="U23" s="142">
        <f>T23/(1+Real_Discount_Rate)^(Calculations!M23-'Assumed Values'!$C$5)</f>
        <v>3208.2345867521067</v>
      </c>
    </row>
    <row r="24" spans="1:21" ht="15.75" x14ac:dyDescent="0.25">
      <c r="L24" s="136"/>
      <c r="M24" s="137">
        <f t="shared" si="1"/>
        <v>2038</v>
      </c>
      <c r="N24" s="145">
        <f t="shared" si="6"/>
        <v>25212.707502492962</v>
      </c>
      <c r="O24" s="146">
        <f t="shared" si="7"/>
        <v>1.1947169881650233E-2</v>
      </c>
      <c r="P24" s="147">
        <f t="shared" si="8"/>
        <v>0.66252578768043147</v>
      </c>
      <c r="Q24" s="148">
        <f t="shared" si="4"/>
        <v>1</v>
      </c>
      <c r="R24" s="37">
        <f>IF(M24=Year_Open_to_Traffic?,Calculations!$J$5,Calculations!R23+(Calculations!R23*Calculations!O24*Q24))</f>
        <v>11741287.776137112</v>
      </c>
      <c r="S24" s="54">
        <f t="shared" si="0"/>
        <v>1</v>
      </c>
      <c r="T24" s="37">
        <f t="shared" si="5"/>
        <v>11741.287776137111</v>
      </c>
      <c r="U24" s="142">
        <f>T24/(1+Real_Discount_Rate)^(Calculations!M24-'Assumed Values'!$C$5)</f>
        <v>3034.1718788600183</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25513.928002201603</v>
      </c>
      <c r="O25" s="146">
        <f t="shared" si="7"/>
        <v>1.1947169881650233E-2</v>
      </c>
      <c r="P25" s="147">
        <f t="shared" si="8"/>
        <v>0.67044109581682376</v>
      </c>
      <c r="Q25" s="148">
        <f t="shared" si="4"/>
        <v>1</v>
      </c>
      <c r="R25" s="37">
        <f>IF(M25=Year_Open_to_Traffic?,Calculations!$J$5,Calculations!R24+(Calculations!R24*Calculations!O25*Q25))</f>
        <v>11881562.935827965</v>
      </c>
      <c r="S25" s="54">
        <f t="shared" si="0"/>
        <v>1</v>
      </c>
      <c r="T25" s="37">
        <f t="shared" si="5"/>
        <v>11881.562935827966</v>
      </c>
      <c r="U25" s="142">
        <f>T25/(1+Real_Discount_Rate)^(Calculations!M25-'Assumed Values'!$C$5)</f>
        <v>2869.5529399503598</v>
      </c>
    </row>
    <row r="26" spans="1:21" ht="15.75" x14ac:dyDescent="0.25">
      <c r="A26" s="181"/>
      <c r="B26" s="181"/>
      <c r="D26" s="160">
        <f>Calculations!E17</f>
        <v>0.41183998093501178</v>
      </c>
      <c r="E26" s="160">
        <f>Calculations!E18</f>
        <v>2.0817846778231086</v>
      </c>
      <c r="F26" s="160">
        <f>Calculations!E19</f>
        <v>11.745410553053031</v>
      </c>
      <c r="G26" s="160">
        <f>Calculations!E20</f>
        <v>29.321678126505308</v>
      </c>
      <c r="H26" s="160">
        <f>Calculations!E21</f>
        <v>227.35958276534211</v>
      </c>
      <c r="I26" s="160">
        <f>Calculations!E22</f>
        <v>19.728463602854596</v>
      </c>
      <c r="J26" s="182"/>
      <c r="L26" s="136"/>
      <c r="M26" s="137">
        <f t="shared" si="1"/>
        <v>2040</v>
      </c>
      <c r="N26" s="145">
        <f t="shared" si="6"/>
        <v>25818.7472343921</v>
      </c>
      <c r="O26" s="146">
        <f t="shared" si="7"/>
        <v>1.1947169881650233E-2</v>
      </c>
      <c r="P26" s="147">
        <f t="shared" si="8"/>
        <v>0.67845096948418715</v>
      </c>
      <c r="Q26" s="148">
        <f t="shared" si="4"/>
        <v>1</v>
      </c>
      <c r="R26" s="37">
        <f>IF(M26=Year_Open_to_Traffic?,Calculations!$J$5,Calculations!R25+(Calculations!R25*Calculations!O26*Q26))</f>
        <v>12023513.986681821</v>
      </c>
      <c r="S26" s="54">
        <f t="shared" si="0"/>
        <v>1</v>
      </c>
      <c r="T26" s="37">
        <f t="shared" si="5"/>
        <v>12023.513986681821</v>
      </c>
      <c r="U26" s="142">
        <f>T26/(1+Real_Discount_Rate)^(Calculations!M26-'Assumed Values'!$C$5)</f>
        <v>2713.8653985124629</v>
      </c>
    </row>
    <row r="27" spans="1:21" ht="15.75" x14ac:dyDescent="0.25">
      <c r="A27" s="161" t="s">
        <v>95</v>
      </c>
      <c r="B27" s="162" t="s">
        <v>96</v>
      </c>
      <c r="D27" s="163">
        <f>D$26*'Value of Statistical Life'!D17*Appropriate_Crash_Reduction_Factor</f>
        <v>0</v>
      </c>
      <c r="E27" s="163">
        <f>E$26*'Value of Statistical Life'!E17*Appropriate_Crash_Reduction_Factor</f>
        <v>5.7240751501424193E-2</v>
      </c>
      <c r="F27" s="163">
        <f>F$26*'Value of Statistical Life'!F17*Appropriate_Crash_Reduction_Factor</f>
        <v>0.78431153509066931</v>
      </c>
      <c r="G27" s="163">
        <f>G$26*'Value of Statistical Life'!G17*Appropriate_Crash_Reduction_Factor</f>
        <v>5.4976973620072398</v>
      </c>
      <c r="H27" s="163">
        <f>H$26*'Value of Statistical Life'!H17*Appropriate_Crash_Reduction_Factor</f>
        <v>168.30793305286534</v>
      </c>
      <c r="I27" s="163">
        <f>I$26*'Value of Statistical Life'!I17*Appropriate_Crash_Reduction_Factor</f>
        <v>6.8932830105462193</v>
      </c>
      <c r="J27" s="163">
        <f t="shared" ref="J27:J33" si="9">SUM(D27:I27)</f>
        <v>181.54046571201087</v>
      </c>
      <c r="K27" s="164"/>
      <c r="L27" s="136"/>
      <c r="M27" s="144">
        <f t="shared" si="1"/>
        <v>2041</v>
      </c>
      <c r="N27" s="145">
        <f t="shared" si="6"/>
        <v>26127.208193732771</v>
      </c>
      <c r="O27" s="146">
        <f t="shared" si="7"/>
        <v>1.1947169881650233E-2</v>
      </c>
      <c r="P27" s="147">
        <f t="shared" si="8"/>
        <v>0.68655653847298503</v>
      </c>
      <c r="Q27" s="148">
        <f t="shared" si="4"/>
        <v>1</v>
      </c>
      <c r="R27" s="37">
        <f>IF(M27=Year_Open_to_Traffic?,Calculations!$J$5,Calculations!R26+(Calculations!R26*Calculations!O27*Q27))</f>
        <v>12167160.950855106</v>
      </c>
      <c r="S27" s="54">
        <f t="shared" si="0"/>
        <v>1</v>
      </c>
      <c r="T27" s="37">
        <f t="shared" si="5"/>
        <v>12167.160950855106</v>
      </c>
      <c r="U27" s="142">
        <f>T27/(1+Real_Discount_Rate)^(Calculations!M27-'Assumed Values'!$C$5)</f>
        <v>2566.6246817424521</v>
      </c>
    </row>
    <row r="28" spans="1:21" ht="15.75" x14ac:dyDescent="0.25">
      <c r="A28" s="161" t="s">
        <v>61</v>
      </c>
      <c r="B28" s="165" t="s">
        <v>62</v>
      </c>
      <c r="D28" s="163">
        <f>D$26*'Value of Statistical Life'!D18*Appropriate_Crash_Reduction_Factor</f>
        <v>0</v>
      </c>
      <c r="E28" s="163">
        <f>E$26*'Value of Statistical Life'!E18*Appropriate_Crash_Reduction_Factor</f>
        <v>0.92346302880490849</v>
      </c>
      <c r="F28" s="163">
        <f>F$26*'Value of Statistical Life'!F18*Appropriate_Crash_Reduction_Factor</f>
        <v>7.2204206650260323</v>
      </c>
      <c r="G28" s="163">
        <f>G$26*'Value of Statistical Life'!G18*Appropriate_Crash_Reduction_Factor</f>
        <v>16.17289936088028</v>
      </c>
      <c r="H28" s="163">
        <f>H$26*'Value of Statistical Life'!H18*Appropriate_Crash_Reduction_Factor</f>
        <v>13.199587937024701</v>
      </c>
      <c r="I28" s="163">
        <f>I$26*'Value of Statistical Life'!I18*Appropriate_Crash_Reduction_Factor</f>
        <v>6.5875707385563844</v>
      </c>
      <c r="J28" s="163">
        <f t="shared" si="9"/>
        <v>44.103941730292306</v>
      </c>
      <c r="K28" s="164"/>
      <c r="L28" s="136"/>
      <c r="M28" s="137">
        <f t="shared" si="1"/>
        <v>2042</v>
      </c>
      <c r="N28" s="145">
        <f t="shared" si="6"/>
        <v>26439.354388556541</v>
      </c>
      <c r="O28" s="146">
        <f t="shared" si="7"/>
        <v>1.1947169881650233E-2</v>
      </c>
      <c r="P28" s="147">
        <f t="shared" si="8"/>
        <v>0.69475894607147948</v>
      </c>
      <c r="Q28" s="148">
        <f t="shared" si="4"/>
        <v>1</v>
      </c>
      <c r="R28" s="37">
        <f>IF(M28=Year_Open_to_Traffic?,Calculations!$J$5,Calculations!R27+(Calculations!R27*Calculations!O28*Q28))</f>
        <v>12312524.089712353</v>
      </c>
      <c r="S28" s="54">
        <f t="shared" si="0"/>
        <v>1</v>
      </c>
      <c r="T28" s="37">
        <f t="shared" si="5"/>
        <v>12312.524089712353</v>
      </c>
      <c r="U28" s="142">
        <f>T28/(1+Real_Discount_Rate)^(Calculations!M28-'Assumed Values'!$C$5)</f>
        <v>2427.3725073249211</v>
      </c>
    </row>
    <row r="29" spans="1:21" ht="15.75" x14ac:dyDescent="0.25">
      <c r="A29" s="161" t="s">
        <v>63</v>
      </c>
      <c r="B29" s="165" t="s">
        <v>64</v>
      </c>
      <c r="D29" s="163">
        <f>D$26*'Value of Statistical Life'!D19*Appropriate_Crash_Reduction_Factor</f>
        <v>0</v>
      </c>
      <c r="E29" s="163">
        <f>E$26*'Value of Statistical Life'!E19*Appropriate_Crash_Reduction_Factor</f>
        <v>0.34820763235140445</v>
      </c>
      <c r="F29" s="163">
        <f>F$26*'Value of Statistical Life'!F19*Appropriate_Crash_Reduction_Factor</f>
        <v>1.0240118736573753</v>
      </c>
      <c r="G29" s="163">
        <f>G$26*'Value of Statistical Life'!G19*Appropriate_Crash_Reduction_Factor</f>
        <v>1.4991587592519633</v>
      </c>
      <c r="H29" s="163">
        <f>H$26*'Value of Statistical Life'!H19*Appropriate_Crash_Reduction_Factor</f>
        <v>0.36013757910030192</v>
      </c>
      <c r="I29" s="163">
        <f>I$26*'Value of Statistical Life'!I19*Appropriate_Crash_Reduction_Factor</f>
        <v>1.4002474326762078</v>
      </c>
      <c r="J29" s="163">
        <f t="shared" si="9"/>
        <v>4.631763277037253</v>
      </c>
      <c r="K29" s="164"/>
      <c r="L29" s="136"/>
      <c r="M29" s="144">
        <f t="shared" si="1"/>
        <v>2043</v>
      </c>
      <c r="N29" s="145">
        <f t="shared" si="6"/>
        <v>26755.22984699778</v>
      </c>
      <c r="O29" s="146">
        <f t="shared" si="7"/>
        <v>1.1947169881650233E-2</v>
      </c>
      <c r="P29" s="147">
        <f t="shared" si="8"/>
        <v>0.70305934922699176</v>
      </c>
      <c r="Q29" s="148">
        <f t="shared" si="4"/>
        <v>1</v>
      </c>
      <c r="R29" s="37">
        <f>IF(M29=Year_Open_to_Traffic?,Calculations!$J$5,Calculations!R28+(Calculations!R28*Calculations!O29*Q29))</f>
        <v>12459623.906684058</v>
      </c>
      <c r="S29" s="54">
        <f t="shared" si="0"/>
        <v>1</v>
      </c>
      <c r="T29" s="37">
        <f t="shared" si="5"/>
        <v>12459.623906684057</v>
      </c>
      <c r="U29" s="142">
        <f>T29/(1+Real_Discount_Rate)^(Calculations!M29-'Assumed Values'!$C$5)</f>
        <v>2295.6754570429712</v>
      </c>
    </row>
    <row r="30" spans="1:21" ht="15.75" x14ac:dyDescent="0.25">
      <c r="A30" s="161" t="s">
        <v>65</v>
      </c>
      <c r="B30" s="165" t="s">
        <v>66</v>
      </c>
      <c r="D30" s="163">
        <f>D$26*'Value of Statistical Life'!D20*Appropriate_Crash_Reduction_Factor</f>
        <v>0</v>
      </c>
      <c r="E30" s="163">
        <f>E$26*'Value of Statistical Life'!E20*Appropriate_Crash_Reduction_Factor</f>
        <v>0.24043780314985774</v>
      </c>
      <c r="F30" s="163">
        <f>F$26*'Value of Statistical Life'!F20*Appropriate_Crash_Reduction_Factor</f>
        <v>0.29983684059833782</v>
      </c>
      <c r="G30" s="163">
        <f>G$26*'Value of Statistical Life'!G20*Appropriate_Crash_Reduction_Factor</f>
        <v>0.25122813818789752</v>
      </c>
      <c r="H30" s="163">
        <f>H$26*'Value of Statistical Life'!H20*Appropriate_Crash_Reduction_Factor</f>
        <v>1.4551013296981897E-2</v>
      </c>
      <c r="I30" s="163">
        <f>I$26*'Value of Statistical Life'!I20*Appropriate_Crash_Reduction_Factor</f>
        <v>0.76025607339960466</v>
      </c>
      <c r="J30" s="163">
        <f t="shared" si="9"/>
        <v>1.5663098686326797</v>
      </c>
      <c r="K30" s="164"/>
      <c r="L30" s="136"/>
      <c r="M30" s="144">
        <f t="shared" si="1"/>
        <v>2044</v>
      </c>
      <c r="N30" s="145">
        <f t="shared" si="6"/>
        <v>27074.87912320246</v>
      </c>
      <c r="O30" s="146">
        <f t="shared" si="7"/>
        <v>1.1947169881650233E-2</v>
      </c>
      <c r="P30" s="147">
        <f t="shared" si="8"/>
        <v>0.71145891870908906</v>
      </c>
      <c r="Q30" s="148">
        <f t="shared" si="4"/>
        <v>1</v>
      </c>
      <c r="R30" s="37">
        <f>IF(M30=Year_Open_to_Traffic?,Calculations!$J$5,Calculations!R29+(Calculations!R29*Calculations!O30*Q30))</f>
        <v>12608481.150158683</v>
      </c>
      <c r="S30" s="54">
        <f t="shared" si="0"/>
        <v>1</v>
      </c>
      <c r="T30" s="37">
        <f t="shared" si="5"/>
        <v>12608.481150158683</v>
      </c>
      <c r="U30" s="142">
        <f>T30/(1+Real_Discount_Rate)^(Calculations!M30-'Assumed Values'!$C$5)</f>
        <v>2171.1236277770081</v>
      </c>
    </row>
    <row r="31" spans="1:21" ht="15.75" x14ac:dyDescent="0.25">
      <c r="A31" s="161" t="s">
        <v>67</v>
      </c>
      <c r="B31" s="165" t="s">
        <v>68</v>
      </c>
      <c r="D31" s="163">
        <f>D$26*'Value of Statistical Life'!D21*Appropriate_Crash_Reduction_Factor</f>
        <v>0</v>
      </c>
      <c r="E31" s="163">
        <f>E$26*'Value of Statistical Life'!E21*Appropriate_Crash_Reduction_Factor</f>
        <v>6.6383949806423287E-2</v>
      </c>
      <c r="F31" s="163">
        <f>F$26*'Value of Statistical Life'!F21*Appropriate_Crash_Reduction_Factor</f>
        <v>5.8257236343143032E-2</v>
      </c>
      <c r="G31" s="163">
        <f>G$26*'Value of Statistical Life'!G21*Appropriate_Crash_Reduction_Factor</f>
        <v>3.3309426351710032E-2</v>
      </c>
      <c r="H31" s="163">
        <f>H$26*'Value of Statistical Life'!H21*Appropriate_Crash_Reduction_Factor</f>
        <v>0</v>
      </c>
      <c r="I31" s="163">
        <f>I$26*'Value of Statistical Life'!I21*Appropriate_Crash_Reduction_Factor</f>
        <v>9.73796963436903E-2</v>
      </c>
      <c r="J31" s="163">
        <f t="shared" si="9"/>
        <v>0.25533030884496666</v>
      </c>
      <c r="K31" s="164"/>
      <c r="L31" s="136"/>
      <c r="M31" s="144">
        <f t="shared" si="1"/>
        <v>2045</v>
      </c>
      <c r="N31" s="145">
        <f t="shared" si="6"/>
        <v>27398.347303612503</v>
      </c>
      <c r="O31" s="146">
        <f t="shared" si="7"/>
        <v>1.1947169881650233E-2</v>
      </c>
      <c r="P31" s="147">
        <f t="shared" si="8"/>
        <v>0.71995883927472171</v>
      </c>
      <c r="Q31" s="148">
        <f t="shared" si="4"/>
        <v>1</v>
      </c>
      <c r="R31" s="37">
        <f>IF(M31=Year_Open_to_Traffic?,Calculations!$J$5,Calculations!R30+(Calculations!R30*Calculations!O31*Q31))</f>
        <v>12759116.816409213</v>
      </c>
      <c r="S31" s="54">
        <f t="shared" si="0"/>
        <v>1</v>
      </c>
      <c r="T31" s="37">
        <f t="shared" si="5"/>
        <v>12759.116816409214</v>
      </c>
      <c r="U31" s="142">
        <f>T31/(1+Real_Discount_Rate)^(Calculations!M31-'Assumed Values'!$C$5)</f>
        <v>2053.3293556935741</v>
      </c>
    </row>
    <row r="32" spans="1:21" ht="15.75" x14ac:dyDescent="0.25">
      <c r="A32" s="161" t="s">
        <v>69</v>
      </c>
      <c r="B32" s="165" t="s">
        <v>70</v>
      </c>
      <c r="D32" s="163">
        <f>D$26*'Value of Statistical Life'!D22*Appropriate_Crash_Reduction_Factor</f>
        <v>0</v>
      </c>
      <c r="E32" s="163">
        <f>E$26*'Value of Statistical Life'!E22*Appropriate_Crash_Reduction_Factor</f>
        <v>2.9694576644468819E-2</v>
      </c>
      <c r="F32" s="163">
        <f>F$26*'Value of Statistical Life'!F22*Appropriate_Crash_Reduction_Factor</f>
        <v>9.4902917268668494E-3</v>
      </c>
      <c r="G32" s="163">
        <f>G$26*'Value of Statistical Life'!G22*Appropriate_Crash_Reduction_Factor</f>
        <v>3.049454525156552E-3</v>
      </c>
      <c r="H32" s="163">
        <f>H$26*'Value of Statistical Life'!H22*Appropriate_Crash_Reduction_Factor</f>
        <v>5.4566299863682112E-3</v>
      </c>
      <c r="I32" s="163">
        <f>I$26*'Value of Statistical Life'!I22*Appropriate_Crash_Reduction_Factor</f>
        <v>4.4033930761571465E-2</v>
      </c>
      <c r="J32" s="163">
        <f t="shared" si="9"/>
        <v>9.1724883644431904E-2</v>
      </c>
      <c r="K32" s="164"/>
      <c r="L32" s="136"/>
      <c r="M32" s="144">
        <f t="shared" si="1"/>
        <v>2046</v>
      </c>
      <c r="N32" s="145">
        <f t="shared" si="6"/>
        <v>27725.680013325215</v>
      </c>
      <c r="O32" s="146">
        <f t="shared" si="7"/>
        <v>1.1947169881650233E-2</v>
      </c>
      <c r="P32" s="147">
        <f t="shared" si="8"/>
        <v>0.72856030983533249</v>
      </c>
      <c r="Q32" s="148">
        <f t="shared" si="4"/>
        <v>1</v>
      </c>
      <c r="R32" s="37">
        <f>IF(M32=Year_Open_to_Traffic?,Calculations!$J$5,Calculations!R31+(Calculations!R31*Calculations!O32*Q32))</f>
        <v>12911552.152554674</v>
      </c>
      <c r="S32" s="54">
        <f t="shared" si="0"/>
        <v>1</v>
      </c>
      <c r="T32" s="37">
        <f t="shared" si="5"/>
        <v>12911.552152554674</v>
      </c>
      <c r="U32" s="142">
        <f>T32/(1+Real_Discount_Rate)^(Calculations!M32-'Assumed Values'!$C$5)</f>
        <v>1941.9260096532944</v>
      </c>
    </row>
    <row r="33" spans="1:21" ht="15.75" x14ac:dyDescent="0.25">
      <c r="A33" s="161" t="s">
        <v>71</v>
      </c>
      <c r="B33" s="165" t="s">
        <v>272</v>
      </c>
      <c r="D33" s="163">
        <f>D$26*'Value of Statistical Life'!D23*Appropriate_Crash_Reduction_Factor</f>
        <v>0.32947198474800943</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0.32947198474800943</v>
      </c>
      <c r="K33" s="164"/>
      <c r="L33" s="136"/>
      <c r="M33" s="144">
        <f t="shared" si="1"/>
        <v>2047</v>
      </c>
      <c r="N33" s="145">
        <f t="shared" si="6"/>
        <v>28056.923422528685</v>
      </c>
      <c r="O33" s="146">
        <f t="shared" si="7"/>
        <v>1.1947169881650233E-2</v>
      </c>
      <c r="P33" s="147">
        <f t="shared" si="8"/>
        <v>0.73726454362596294</v>
      </c>
      <c r="Q33" s="148">
        <f t="shared" si="4"/>
        <v>1</v>
      </c>
      <c r="R33" s="37">
        <f>IF(M33=Year_Open_to_Traffic?,Calculations!$J$5,Calculations!R32+(Calculations!R32*Calculations!O33*Q33))</f>
        <v>13065808.659557031</v>
      </c>
      <c r="S33" s="54">
        <f t="shared" si="0"/>
        <v>1</v>
      </c>
      <c r="T33" s="37">
        <f t="shared" si="5"/>
        <v>13065.808659557031</v>
      </c>
      <c r="U33" s="142">
        <f>T33/(1+Real_Discount_Rate)^(Calculations!M33-'Assumed Values'!$C$5)</f>
        <v>1836.5668500824463</v>
      </c>
    </row>
    <row r="34" spans="1:21" ht="15.75" x14ac:dyDescent="0.25">
      <c r="J34" s="166"/>
      <c r="L34" s="136"/>
      <c r="M34" s="144">
        <f t="shared" si="1"/>
        <v>2048</v>
      </c>
      <c r="N34" s="145">
        <f t="shared" si="6"/>
        <v>28392.124253014088</v>
      </c>
      <c r="O34" s="146">
        <f t="shared" si="7"/>
        <v>1.1947169881650233E-2</v>
      </c>
      <c r="P34" s="147">
        <f t="shared" si="8"/>
        <v>0.7460727683763797</v>
      </c>
      <c r="Q34" s="148">
        <f t="shared" si="4"/>
        <v>1</v>
      </c>
      <c r="R34" s="37">
        <f>IF(M34=Year_Open_to_Traffic?,Calculations!$J$5,Calculations!R33+(Calculations!R33*Calculations!O34*Q34))</f>
        <v>13221908.095253896</v>
      </c>
      <c r="S34" s="54">
        <f t="shared" si="0"/>
        <v>1</v>
      </c>
      <c r="T34" s="37">
        <f t="shared" si="5"/>
        <v>13221.908095253895</v>
      </c>
      <c r="U34" s="142">
        <f>T34/(1+Real_Discount_Rate)^(Calculations!M34-'Assumed Values'!$C$5)</f>
        <v>1736.9239497564379</v>
      </c>
    </row>
    <row r="35" spans="1:21" ht="15.75" x14ac:dyDescent="0.25">
      <c r="G35" s="167"/>
      <c r="H35" s="167"/>
      <c r="L35" s="136"/>
      <c r="M35" s="144">
        <f t="shared" si="1"/>
        <v>2049</v>
      </c>
      <c r="N35" s="145">
        <f t="shared" si="6"/>
        <v>28731.32978476577</v>
      </c>
      <c r="O35" s="146">
        <f t="shared" si="7"/>
        <v>1.1947169881650233E-2</v>
      </c>
      <c r="P35" s="147">
        <f t="shared" si="8"/>
        <v>0.7549862264842454</v>
      </c>
      <c r="Q35" s="148">
        <f t="shared" si="4"/>
        <v>1</v>
      </c>
      <c r="R35" s="37">
        <f>IF(M35=Year_Open_to_Traffic?,Calculations!$J$5,Calculations!R34+(Calculations!R34*Calculations!O35*Q35))</f>
        <v>13379872.47742746</v>
      </c>
      <c r="S35" s="54">
        <f t="shared" si="0"/>
        <v>1</v>
      </c>
      <c r="T35" s="37">
        <f t="shared" si="5"/>
        <v>13379.87247742746</v>
      </c>
      <c r="U35" s="142">
        <f>T35/(1+Real_Discount_Rate)^(Calculations!M35-'Assumed Values'!$C$5)</f>
        <v>1642.6871731361537</v>
      </c>
    </row>
    <row r="36" spans="1:21" ht="15.75" x14ac:dyDescent="0.25">
      <c r="G36" s="167"/>
      <c r="H36" s="167"/>
      <c r="L36" s="136"/>
      <c r="M36" s="144">
        <f t="shared" si="1"/>
        <v>2050</v>
      </c>
      <c r="N36" s="145">
        <f t="shared" si="6"/>
        <v>29074.587862630084</v>
      </c>
      <c r="O36" s="146">
        <f t="shared" si="7"/>
        <v>1.1947169881650233E-2</v>
      </c>
      <c r="P36" s="147">
        <f t="shared" si="8"/>
        <v>0.76400617519035874</v>
      </c>
      <c r="Q36" s="148">
        <f t="shared" si="4"/>
        <v>1</v>
      </c>
      <c r="R36" s="37">
        <f>IF(M36=Year_Open_to_Traffic?,Calculations!$J$5,Calculations!R35+(Calculations!R35*Calculations!O36*Q36))</f>
        <v>13539724.086910103</v>
      </c>
      <c r="S36" s="54">
        <f t="shared" si="0"/>
        <v>1</v>
      </c>
      <c r="T36" s="37">
        <f t="shared" si="5"/>
        <v>13539.724086910102</v>
      </c>
      <c r="U36" s="142">
        <f>T36/(1+Real_Discount_Rate)^(Calculations!M36-'Assumed Values'!$C$5)</f>
        <v>1553.563211080392</v>
      </c>
    </row>
    <row r="37" spans="1:21" x14ac:dyDescent="0.25">
      <c r="M37" s="165"/>
      <c r="N37" s="165"/>
      <c r="O37" s="168"/>
      <c r="P37" s="169"/>
      <c r="Q37" s="170"/>
      <c r="R37" s="165"/>
      <c r="S37" s="165"/>
      <c r="T37" s="165"/>
      <c r="U37" s="142">
        <f>SUM(U4:U36)</f>
        <v>88407.318649952605</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topLeftCell="A43" workbookViewId="0">
      <selection activeCell="C59" sqref="C59"/>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Lad, Paresh - HPW</cp:lastModifiedBy>
  <cp:lastPrinted>2018-10-25T19:20:52Z</cp:lastPrinted>
  <dcterms:created xsi:type="dcterms:W3CDTF">2012-07-25T15:48:32Z</dcterms:created>
  <dcterms:modified xsi:type="dcterms:W3CDTF">2018-10-25T19:20:58Z</dcterms:modified>
</cp:coreProperties>
</file>