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hgac-my.sharepoint.com/personal/lingala_h-gac_com/Documents/2021 Call/Jan 2023/Project Scoring/Five Investment Categories/Submitted Questionnaires/Scores/Benefits Calculators/Emissions Benefits Calculator/"/>
    </mc:Choice>
  </mc:AlternateContent>
  <xr:revisionPtr revIDLastSave="35" documentId="13_ncr:1_{74843F3B-9541-415F-A98E-E68866C46984}" xr6:coauthVersionLast="47" xr6:coauthVersionMax="47" xr10:uidLastSave="{F7F9AE82-9C62-44EA-9F23-2EFBD1F5776F}"/>
  <bookViews>
    <workbookView xWindow="-108" yWindow="-108" windowWidth="23256" windowHeight="12576" tabRatio="92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Benefit Calculations" sheetId="19" r:id="rId5"/>
    <sheet name="Value of Emissions" sheetId="21" r:id="rId6"/>
    <sheet name="Emission Factors - NOx" sheetId="17" r:id="rId7"/>
    <sheet name="Emission Factors - VOC" sheetId="18" r:id="rId8"/>
    <sheet name="Service Life" sheetId="20" r:id="rId9"/>
    <sheet name="Assumed Values" sheetId="2" r:id="rId10"/>
    <sheet name="Growth Rates" sheetId="22" r:id="rId11"/>
  </sheets>
  <externalReferences>
    <externalReference r:id="rId12"/>
    <externalReference r:id="rId13"/>
    <externalReference r:id="rId14"/>
    <externalReference r:id="rId15"/>
  </externalReferences>
  <definedNames>
    <definedName name="_2018_2025_Demand_Growth">#REF!</definedName>
    <definedName name="_2018_2025_V_C_Growth">#REF!</definedName>
    <definedName name="_2018_2045_Demand_Growth">#REF!</definedName>
    <definedName name="_2018_2045_V_C_Growth">#REF!</definedName>
    <definedName name="_2018_Capacity" localSheetId="5">'[1]Inputs &amp; Outputs'!#REF!</definedName>
    <definedName name="_2018_Capacity">'[2]Inputs &amp; Outputs'!$B$31</definedName>
    <definedName name="_2018_V_C_Ratio">[1]Calculations!#REF!</definedName>
    <definedName name="_2018_Volume" localSheetId="5">'[1]Inputs &amp; Outputs'!#REF!</definedName>
    <definedName name="_2018_Volume">'[2]Inputs &amp; Outputs'!$B$30</definedName>
    <definedName name="_2025_2045_Demand_Growth">#REF!</definedName>
    <definedName name="_2025_2045_V_C_Growth">#REF!</definedName>
    <definedName name="_2025_Capacity">'[2]Inputs &amp; Outputs'!$B$33</definedName>
    <definedName name="_2025_V_C_Ratio">[1]Calculations!#REF!</definedName>
    <definedName name="_2025_Volume" localSheetId="5">'[1]Inputs &amp; Outputs'!#REF!</definedName>
    <definedName name="_2025_Volume">'[2]Inputs &amp; Outputs'!$B$32</definedName>
    <definedName name="_2045_Capacity" localSheetId="5">'[1]Inputs &amp; Outputs'!#REF!</definedName>
    <definedName name="_2045_Capacity">'[2]Inputs &amp; Outputs'!$B$35</definedName>
    <definedName name="_2045_V_C_Ratio">[1]Calculations!#REF!</definedName>
    <definedName name="_2045_Volume" localSheetId="5">'[1]Inputs &amp; Outputs'!#REF!</definedName>
    <definedName name="_2045_Volume">'[2]Inputs &amp; Outputs'!$B$34</definedName>
    <definedName name="Annual_Days_of_Travel">#REF!</definedName>
    <definedName name="Base_Year">#REF!</definedName>
    <definedName name="Discount_Rate">[1]Calculations!#REF!</definedName>
    <definedName name="_xlnm.Print_Area" localSheetId="2">'Emissions Reduction Worksheet'!$A$3:$K$33</definedName>
    <definedName name="_xlnm.Print_Area" localSheetId="1">'ITS Delay Worksheet'!$A$3:$J$33</definedName>
    <definedName name="Real_wage_growth_rate">#REF!</definedName>
    <definedName name="Service_Life">'[3]Inputs &amp; Outputs'!$C$19</definedName>
    <definedName name="Value_of_Delay_Savings__2015_____000s">[4]Calculations!$S$4:$S$36</definedName>
    <definedName name="Value_of_Delay_Savings__2018_____000s">[1]Calculations!#REF!+[1]Calculations!#REF!</definedName>
    <definedName name="Value_of_Travel_Time__VoTT___2018">#REF!</definedName>
    <definedName name="Vehicle_Occupancy">#REF!</definedName>
    <definedName name="Year_Open_to_Traffic?">'[1]Inputs &amp; Outputs'!$B$12</definedName>
    <definedName name="Years_to_include_in_BCA_Analysi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2" l="1"/>
  <c r="C18" i="11"/>
  <c r="G4" i="19"/>
  <c r="C9" i="19" l="1"/>
  <c r="H8" i="19" s="1"/>
  <c r="C10" i="19"/>
  <c r="H14" i="19" s="1"/>
  <c r="H22" i="19"/>
  <c r="H24" i="19"/>
  <c r="H19" i="19"/>
  <c r="H27" i="19"/>
  <c r="H28" i="19"/>
  <c r="H29" i="19"/>
  <c r="H31" i="19"/>
  <c r="H30" i="19"/>
  <c r="H7" i="19" l="1"/>
  <c r="H23" i="19"/>
  <c r="H21" i="19"/>
  <c r="H20" i="19"/>
  <c r="H15" i="19"/>
  <c r="H10" i="19"/>
  <c r="H18" i="19"/>
  <c r="H6" i="19"/>
  <c r="H5" i="19"/>
  <c r="G5" i="19" s="1"/>
  <c r="G6" i="19" s="1"/>
  <c r="G7" i="19" s="1"/>
  <c r="G8" i="19" s="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G34" i="19" s="1"/>
  <c r="H32" i="19"/>
  <c r="H33" i="19"/>
  <c r="H34" i="19"/>
  <c r="H13" i="19"/>
  <c r="H12" i="19"/>
  <c r="H11" i="19"/>
  <c r="H26" i="19"/>
  <c r="H9" i="19"/>
  <c r="H25" i="19"/>
  <c r="H17" i="19"/>
  <c r="H16" i="19"/>
  <c r="D5" i="19" l="1"/>
  <c r="C5" i="19"/>
  <c r="C4" i="19"/>
  <c r="D4" i="19"/>
  <c r="F5" i="19" l="1"/>
  <c r="F6" i="19" l="1"/>
  <c r="F7" i="19" l="1"/>
  <c r="F8" i="19" l="1"/>
  <c r="F9" i="19" l="1"/>
  <c r="F10" i="19" l="1"/>
  <c r="F11" i="19" l="1"/>
  <c r="F12" i="19" l="1"/>
  <c r="F13" i="19" l="1"/>
  <c r="F14" i="19" l="1"/>
  <c r="F15" i="19" l="1"/>
  <c r="F16" i="19" l="1"/>
  <c r="F17" i="19" l="1"/>
  <c r="F18" i="19" l="1"/>
  <c r="F19" i="19" l="1"/>
  <c r="F20" i="19" l="1"/>
  <c r="F21" i="19" l="1"/>
  <c r="F22" i="19" l="1"/>
  <c r="F23" i="19" l="1"/>
  <c r="F24" i="19" l="1"/>
  <c r="F25" i="19" l="1"/>
  <c r="F26" i="19" l="1"/>
  <c r="F27" i="19" l="1"/>
  <c r="F28" i="19" l="1"/>
  <c r="F29" i="19" l="1"/>
  <c r="F30" i="19" l="1"/>
  <c r="F31" i="19" l="1"/>
  <c r="F32" i="19" l="1"/>
  <c r="F33" i="19" l="1"/>
  <c r="F34" i="19" l="1"/>
  <c r="B18" i="5" l="1"/>
  <c r="E17" i="5" s="1"/>
  <c r="B19" i="5"/>
  <c r="E18" i="5" s="1"/>
  <c r="G4" i="7"/>
  <c r="G4" i="5"/>
  <c r="G5" i="5" s="1"/>
  <c r="G6" i="5" s="1"/>
  <c r="G7" i="5" s="1"/>
  <c r="G8" i="5" s="1"/>
  <c r="G9" i="5" s="1"/>
  <c r="G10" i="5" s="1"/>
  <c r="G11" i="5" s="1"/>
  <c r="G12" i="5" s="1"/>
  <c r="G13" i="5" s="1"/>
  <c r="G14" i="5" s="1"/>
  <c r="H4" i="7"/>
  <c r="B18" i="7"/>
  <c r="G5" i="7"/>
  <c r="H5" i="7" s="1"/>
  <c r="B17" i="7"/>
  <c r="B16" i="7"/>
  <c r="E17" i="7"/>
  <c r="I4" i="7" l="1"/>
  <c r="J14" i="5"/>
  <c r="H14" i="5"/>
  <c r="G15" i="5"/>
  <c r="H10" i="5"/>
  <c r="G6" i="7"/>
  <c r="I5" i="7"/>
  <c r="H6" i="5"/>
  <c r="H11" i="5"/>
  <c r="J5" i="5"/>
  <c r="J13" i="5"/>
  <c r="J11" i="5"/>
  <c r="J10" i="5"/>
  <c r="J9" i="5"/>
  <c r="J4" i="5"/>
  <c r="J12" i="5"/>
  <c r="J8" i="5"/>
  <c r="J7" i="5"/>
  <c r="J6" i="5"/>
  <c r="H12" i="5"/>
  <c r="H4" i="5"/>
  <c r="H13" i="5"/>
  <c r="H5" i="5"/>
  <c r="H7" i="5"/>
  <c r="H8" i="5"/>
  <c r="H9" i="5"/>
  <c r="B20" i="5" l="1"/>
  <c r="I8" i="5" s="1"/>
  <c r="B21" i="5"/>
  <c r="K4" i="5" s="1"/>
  <c r="H6" i="7"/>
  <c r="I6" i="7"/>
  <c r="G7" i="7"/>
  <c r="H15" i="5"/>
  <c r="G16" i="5"/>
  <c r="J15" i="5"/>
  <c r="B19" i="7"/>
  <c r="K5" i="5" l="1"/>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H8" i="7" l="1"/>
  <c r="I8" i="7" s="1"/>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s="1"/>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G25" i="5"/>
  <c r="B11" i="5" l="1"/>
  <c r="B12" i="5" s="1"/>
  <c r="G26" i="5"/>
  <c r="H25" i="5"/>
  <c r="I25" i="5" s="1"/>
  <c r="J25" i="5"/>
  <c r="K25" i="5" s="1"/>
  <c r="H16" i="7"/>
  <c r="I16" i="7" s="1"/>
  <c r="J16" i="7" s="1"/>
  <c r="G17" i="7"/>
  <c r="H17" i="7" l="1"/>
  <c r="I17" i="7" s="1"/>
  <c r="J17" i="7" s="1"/>
  <c r="G18" i="7"/>
  <c r="G27" i="5"/>
  <c r="H26" i="5"/>
  <c r="I26" i="5" s="1"/>
  <c r="J26" i="5"/>
  <c r="K26" i="5" s="1"/>
  <c r="J27" i="5" l="1"/>
  <c r="K27" i="5" s="1"/>
  <c r="G28" i="5"/>
  <c r="H27" i="5"/>
  <c r="I27" i="5" s="1"/>
  <c r="G19" i="7"/>
  <c r="H18" i="7"/>
  <c r="I18" i="7" s="1"/>
  <c r="J18" i="7" s="1"/>
  <c r="G29" i="5" l="1"/>
  <c r="H28" i="5"/>
  <c r="I28" i="5" s="1"/>
  <c r="J28" i="5"/>
  <c r="K28" i="5" s="1"/>
  <c r="H19" i="7"/>
  <c r="I19" i="7" s="1"/>
  <c r="J19" i="7" s="1"/>
  <c r="G20" i="7"/>
  <c r="G21" i="7" l="1"/>
  <c r="H20" i="7"/>
  <c r="I20" i="7" s="1"/>
  <c r="J20" i="7" s="1"/>
  <c r="J29" i="5"/>
  <c r="K29" i="5" s="1"/>
  <c r="H29" i="5"/>
  <c r="I29" i="5" l="1"/>
  <c r="B13" i="5"/>
  <c r="H21" i="7"/>
  <c r="I21" i="7"/>
  <c r="J21" i="7" s="1"/>
  <c r="G22" i="7"/>
  <c r="H22" i="7" l="1"/>
  <c r="I22" i="7" s="1"/>
  <c r="J22" i="7" s="1"/>
  <c r="G23" i="7"/>
  <c r="G24" i="7" l="1"/>
  <c r="H23" i="7"/>
  <c r="I23" i="7"/>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I23" i="19" l="1"/>
  <c r="I20" i="19"/>
  <c r="I30" i="19" l="1"/>
  <c r="N30" i="19" s="1"/>
  <c r="O30" i="19" s="1"/>
  <c r="P30" i="19" s="1"/>
  <c r="Q30" i="19" s="1"/>
  <c r="I6" i="19"/>
  <c r="J6" i="19" s="1"/>
  <c r="K6" i="19" s="1"/>
  <c r="L6" i="19" s="1"/>
  <c r="M6" i="19" s="1"/>
  <c r="J20" i="19"/>
  <c r="K20" i="19" s="1"/>
  <c r="L20" i="19" s="1"/>
  <c r="M20" i="19" s="1"/>
  <c r="N20" i="19"/>
  <c r="O20" i="19" s="1"/>
  <c r="P20" i="19" s="1"/>
  <c r="Q20" i="19" s="1"/>
  <c r="I24" i="19"/>
  <c r="I25" i="19"/>
  <c r="I10" i="19"/>
  <c r="I19" i="19"/>
  <c r="I4" i="19"/>
  <c r="I8" i="19"/>
  <c r="I9" i="19"/>
  <c r="I22" i="19"/>
  <c r="I5" i="19"/>
  <c r="I15" i="19"/>
  <c r="I34" i="19"/>
  <c r="I31" i="19"/>
  <c r="I26" i="19"/>
  <c r="I13" i="19"/>
  <c r="I33" i="19"/>
  <c r="I32" i="19"/>
  <c r="I21" i="19"/>
  <c r="I11" i="19"/>
  <c r="I29" i="19"/>
  <c r="I12" i="19"/>
  <c r="I28" i="19"/>
  <c r="I16" i="19"/>
  <c r="I17" i="19"/>
  <c r="I7" i="19"/>
  <c r="I27" i="19"/>
  <c r="J23" i="19"/>
  <c r="K23" i="19" s="1"/>
  <c r="L23" i="19" s="1"/>
  <c r="M23" i="19" s="1"/>
  <c r="N23" i="19"/>
  <c r="O23" i="19" s="1"/>
  <c r="P23" i="19" s="1"/>
  <c r="Q23" i="19" s="1"/>
  <c r="I14" i="19"/>
  <c r="I18" i="19"/>
  <c r="N6" i="19" l="1"/>
  <c r="O6" i="19" s="1"/>
  <c r="P6" i="19" s="1"/>
  <c r="Q6" i="19" s="1"/>
  <c r="J30" i="19"/>
  <c r="K30" i="19" s="1"/>
  <c r="L30" i="19" s="1"/>
  <c r="M30" i="19" s="1"/>
  <c r="N25" i="19"/>
  <c r="O25" i="19" s="1"/>
  <c r="P25" i="19" s="1"/>
  <c r="Q25" i="19" s="1"/>
  <c r="J25" i="19"/>
  <c r="K25" i="19" s="1"/>
  <c r="L25" i="19" s="1"/>
  <c r="M25" i="19" s="1"/>
  <c r="N19" i="19"/>
  <c r="O19" i="19" s="1"/>
  <c r="P19" i="19" s="1"/>
  <c r="Q19" i="19" s="1"/>
  <c r="J19" i="19"/>
  <c r="K19" i="19" s="1"/>
  <c r="L19" i="19" s="1"/>
  <c r="M19" i="19" s="1"/>
  <c r="J15" i="19"/>
  <c r="K15" i="19" s="1"/>
  <c r="L15" i="19" s="1"/>
  <c r="M15" i="19" s="1"/>
  <c r="N15" i="19"/>
  <c r="O15" i="19" s="1"/>
  <c r="P15" i="19" s="1"/>
  <c r="Q15" i="19" s="1"/>
  <c r="J21" i="19"/>
  <c r="K21" i="19" s="1"/>
  <c r="L21" i="19" s="1"/>
  <c r="M21" i="19" s="1"/>
  <c r="N21" i="19"/>
  <c r="O21" i="19" s="1"/>
  <c r="P21" i="19" s="1"/>
  <c r="Q21" i="19" s="1"/>
  <c r="N32" i="19"/>
  <c r="O32" i="19" s="1"/>
  <c r="P32" i="19" s="1"/>
  <c r="Q32" i="19" s="1"/>
  <c r="J32" i="19"/>
  <c r="K32" i="19" s="1"/>
  <c r="L32" i="19" s="1"/>
  <c r="M32" i="19" s="1"/>
  <c r="N24" i="19"/>
  <c r="O24" i="19" s="1"/>
  <c r="P24" i="19" s="1"/>
  <c r="Q24" i="19" s="1"/>
  <c r="J24" i="19"/>
  <c r="K24" i="19" s="1"/>
  <c r="L24" i="19" s="1"/>
  <c r="M24" i="19" s="1"/>
  <c r="N16" i="19"/>
  <c r="O16" i="19" s="1"/>
  <c r="P16" i="19" s="1"/>
  <c r="Q16" i="19" s="1"/>
  <c r="J16" i="19"/>
  <c r="K16" i="19" s="1"/>
  <c r="L16" i="19" s="1"/>
  <c r="M16" i="19" s="1"/>
  <c r="J9" i="19"/>
  <c r="K9" i="19" s="1"/>
  <c r="L9" i="19" s="1"/>
  <c r="M9" i="19" s="1"/>
  <c r="N9" i="19"/>
  <c r="O9" i="19" s="1"/>
  <c r="P9" i="19" s="1"/>
  <c r="Q9" i="19" s="1"/>
  <c r="N13" i="19"/>
  <c r="O13" i="19" s="1"/>
  <c r="P13" i="19" s="1"/>
  <c r="Q13" i="19" s="1"/>
  <c r="J13" i="19"/>
  <c r="K13" i="19" s="1"/>
  <c r="L13" i="19" s="1"/>
  <c r="M13" i="19" s="1"/>
  <c r="N8" i="19"/>
  <c r="O8" i="19" s="1"/>
  <c r="P8" i="19" s="1"/>
  <c r="Q8" i="19" s="1"/>
  <c r="J8" i="19"/>
  <c r="K8" i="19" s="1"/>
  <c r="J29" i="19"/>
  <c r="K29" i="19" s="1"/>
  <c r="L29" i="19" s="1"/>
  <c r="M29" i="19" s="1"/>
  <c r="N29" i="19"/>
  <c r="O29" i="19" s="1"/>
  <c r="P29" i="19" s="1"/>
  <c r="Q29" i="19" s="1"/>
  <c r="J27" i="19"/>
  <c r="K27" i="19" s="1"/>
  <c r="L27" i="19" s="1"/>
  <c r="M27" i="19" s="1"/>
  <c r="N27" i="19"/>
  <c r="O27" i="19" s="1"/>
  <c r="P27" i="19" s="1"/>
  <c r="Q27" i="19" s="1"/>
  <c r="J10" i="19"/>
  <c r="K10" i="19" s="1"/>
  <c r="L10" i="19" s="1"/>
  <c r="M10" i="19" s="1"/>
  <c r="N10" i="19"/>
  <c r="O10" i="19" s="1"/>
  <c r="P10" i="19" s="1"/>
  <c r="Q10" i="19" s="1"/>
  <c r="N5" i="19"/>
  <c r="O5" i="19" s="1"/>
  <c r="P5" i="19" s="1"/>
  <c r="Q5" i="19" s="1"/>
  <c r="J5" i="19"/>
  <c r="K5" i="19" s="1"/>
  <c r="L5" i="19" s="1"/>
  <c r="M5" i="19" s="1"/>
  <c r="N22" i="19"/>
  <c r="O22" i="19" s="1"/>
  <c r="P22" i="19" s="1"/>
  <c r="Q22" i="19" s="1"/>
  <c r="J22" i="19"/>
  <c r="K22" i="19" s="1"/>
  <c r="L22" i="19" s="1"/>
  <c r="M22" i="19" s="1"/>
  <c r="J28" i="19"/>
  <c r="K28" i="19" s="1"/>
  <c r="L28" i="19" s="1"/>
  <c r="M28" i="19" s="1"/>
  <c r="N28" i="19"/>
  <c r="O28" i="19" s="1"/>
  <c r="P28" i="19" s="1"/>
  <c r="Q28" i="19" s="1"/>
  <c r="J14" i="19"/>
  <c r="K14" i="19" s="1"/>
  <c r="L14" i="19" s="1"/>
  <c r="M14" i="19" s="1"/>
  <c r="N14" i="19"/>
  <c r="O14" i="19" s="1"/>
  <c r="P14" i="19" s="1"/>
  <c r="Q14" i="19" s="1"/>
  <c r="J12" i="19"/>
  <c r="K12" i="19" s="1"/>
  <c r="L12" i="19" s="1"/>
  <c r="M12" i="19" s="1"/>
  <c r="N12" i="19"/>
  <c r="O12" i="19" s="1"/>
  <c r="P12" i="19" s="1"/>
  <c r="Q12" i="19" s="1"/>
  <c r="N26" i="19"/>
  <c r="O26" i="19" s="1"/>
  <c r="P26" i="19" s="1"/>
  <c r="Q26" i="19" s="1"/>
  <c r="J26" i="19"/>
  <c r="K26" i="19" s="1"/>
  <c r="L26" i="19" s="1"/>
  <c r="M26" i="19" s="1"/>
  <c r="J4" i="19"/>
  <c r="K4" i="19" s="1"/>
  <c r="L4" i="19" s="1"/>
  <c r="M4" i="19" s="1"/>
  <c r="N4" i="19"/>
  <c r="O4" i="19" s="1"/>
  <c r="P4" i="19" s="1"/>
  <c r="Q4" i="19" s="1"/>
  <c r="J34" i="19"/>
  <c r="K34" i="19" s="1"/>
  <c r="L34" i="19" s="1"/>
  <c r="M34" i="19" s="1"/>
  <c r="N34" i="19"/>
  <c r="O34" i="19" s="1"/>
  <c r="P34" i="19" s="1"/>
  <c r="Q34" i="19" s="1"/>
  <c r="J11" i="19"/>
  <c r="K11" i="19" s="1"/>
  <c r="L11" i="19" s="1"/>
  <c r="M11" i="19" s="1"/>
  <c r="N11" i="19"/>
  <c r="O11" i="19" s="1"/>
  <c r="P11" i="19" s="1"/>
  <c r="Q11" i="19" s="1"/>
  <c r="N7" i="19"/>
  <c r="O7" i="19" s="1"/>
  <c r="P7" i="19" s="1"/>
  <c r="Q7" i="19" s="1"/>
  <c r="J7" i="19"/>
  <c r="K7" i="19" s="1"/>
  <c r="L7" i="19" s="1"/>
  <c r="M7" i="19" s="1"/>
  <c r="N17" i="19"/>
  <c r="O17" i="19" s="1"/>
  <c r="P17" i="19" s="1"/>
  <c r="Q17" i="19" s="1"/>
  <c r="J17" i="19"/>
  <c r="K17" i="19" s="1"/>
  <c r="L17" i="19" s="1"/>
  <c r="M17" i="19" s="1"/>
  <c r="N33" i="19"/>
  <c r="O33" i="19" s="1"/>
  <c r="P33" i="19" s="1"/>
  <c r="Q33" i="19" s="1"/>
  <c r="J33" i="19"/>
  <c r="K33" i="19" s="1"/>
  <c r="L33" i="19" s="1"/>
  <c r="M33" i="19" s="1"/>
  <c r="J18" i="19"/>
  <c r="K18" i="19" s="1"/>
  <c r="L18" i="19" s="1"/>
  <c r="M18" i="19" s="1"/>
  <c r="N18" i="19"/>
  <c r="O18" i="19" s="1"/>
  <c r="P18" i="19" s="1"/>
  <c r="Q18" i="19" s="1"/>
  <c r="N31" i="19"/>
  <c r="O31" i="19" s="1"/>
  <c r="P31" i="19" s="1"/>
  <c r="Q31" i="19" s="1"/>
  <c r="J31" i="19"/>
  <c r="K31" i="19" s="1"/>
  <c r="L31" i="19" s="1"/>
  <c r="M31" i="19" s="1"/>
  <c r="L8" i="19" l="1"/>
  <c r="M8" i="19" s="1"/>
  <c r="O35" i="19"/>
  <c r="J35" i="19"/>
  <c r="N35" i="19"/>
  <c r="C36" i="11" l="1"/>
  <c r="K35" i="19"/>
  <c r="C35" i="11" s="1"/>
  <c r="L35" i="19" l="1"/>
  <c r="M35" i="19"/>
  <c r="C28" i="11" s="1"/>
  <c r="Q35" i="19"/>
  <c r="C29" i="11" s="1"/>
  <c r="P35" i="19"/>
  <c r="C32" i="11" l="1"/>
</calcChain>
</file>

<file path=xl/sharedStrings.xml><?xml version="1.0" encoding="utf-8"?>
<sst xmlns="http://schemas.openxmlformats.org/spreadsheetml/2006/main" count="282" uniqueCount="139">
  <si>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</si>
  <si>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</si>
  <si>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</si>
  <si>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</si>
  <si>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</si>
  <si>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</si>
  <si>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</si>
  <si>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</si>
  <si>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</si>
  <si>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</si>
  <si>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</si>
  <si>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</si>
  <si>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</si>
  <si>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</si>
  <si>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</si>
  <si>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</si>
  <si>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</si>
  <si>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</si>
  <si>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</si>
  <si>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</si>
  <si>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</si>
  <si>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</si>
  <si>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</si>
  <si>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</si>
  <si>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</si>
  <si>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</si>
  <si>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</si>
  <si>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</si>
  <si>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</si>
  <si>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</si>
  <si>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</si>
  <si>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</si>
  <si>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</si>
  <si>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</si>
  <si>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</si>
  <si>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</si>
  <si>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</si>
  <si>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</si>
  <si>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</si>
  <si>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</si>
  <si>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</si>
  <si>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</si>
  <si>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</si>
  <si>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</si>
  <si>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</si>
  <si>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</si>
  <si>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</si>
  <si>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Title:</t>
  </si>
  <si>
    <t>Data entered by the sponsors</t>
  </si>
  <si>
    <t>Application ID Number:</t>
  </si>
  <si>
    <t>Data populated/calculated based on inputs</t>
  </si>
  <si>
    <t>MPOID/CSJ #</t>
  </si>
  <si>
    <t>Benefits calculated by the template</t>
  </si>
  <si>
    <t>Project County</t>
  </si>
  <si>
    <t>Fort Bend</t>
  </si>
  <si>
    <t>Proposed Improvements Information</t>
  </si>
  <si>
    <r>
      <t xml:space="preserve">Year Open to Traffic? </t>
    </r>
    <r>
      <rPr>
        <b/>
        <sz val="11"/>
        <color theme="1"/>
        <rFont val="Calibri"/>
        <family val="2"/>
        <scheme val="minor"/>
      </rPr>
      <t>(Must be &gt;=2025)</t>
    </r>
  </si>
  <si>
    <t>Type of Improvement</t>
  </si>
  <si>
    <t>Roadway improvements (Added Capacity, Grade Separations)  including HOV</t>
  </si>
  <si>
    <t>Type of Facility</t>
  </si>
  <si>
    <t>Non-Freeway</t>
  </si>
  <si>
    <t>Total Length of Corridors Affected by Project (miles)</t>
  </si>
  <si>
    <t>Average Roadway Speed Before Improvement (mph)</t>
  </si>
  <si>
    <t>Average Roadway Speed After Improvement (mph)</t>
  </si>
  <si>
    <t>Service Life of Project (from MoSERS)</t>
  </si>
  <si>
    <t>Daily Travel Demand</t>
  </si>
  <si>
    <t>OUTPUTS</t>
  </si>
  <si>
    <t>Benefit Results</t>
  </si>
  <si>
    <t>Discounted NOx Benefits @ 7% (2021 $)</t>
  </si>
  <si>
    <t>Discounted VOC Benefits @ 7% (2021 $)</t>
  </si>
  <si>
    <t>Total Emissions Benefit Results</t>
  </si>
  <si>
    <t>Discounted Emissions Benefits @ 7% (2021 $)</t>
  </si>
  <si>
    <t>Total Emissions Reductions</t>
  </si>
  <si>
    <t>NOx Emission Reductions (tons)</t>
  </si>
  <si>
    <t>VOC Emission Reductions (tons)</t>
  </si>
  <si>
    <t>Annual Emission Reductions Over Life of Project</t>
  </si>
  <si>
    <t>Emission Factors</t>
  </si>
  <si>
    <t xml:space="preserve">NOx Emission Factor </t>
  </si>
  <si>
    <t xml:space="preserve">VOC Emission Factor </t>
  </si>
  <si>
    <t>Estimated Corridor Traffic Volume</t>
  </si>
  <si>
    <t>Demand Growth</t>
  </si>
  <si>
    <t>Within Project Life?</t>
  </si>
  <si>
    <t>NOx (g/day)</t>
  </si>
  <si>
    <t>NOx (Metric tons/yr)</t>
  </si>
  <si>
    <t>NOx Emission Reduction Benefit</t>
  </si>
  <si>
    <t>VOC 
(g/day)</t>
  </si>
  <si>
    <t>VOC 
(Metric ton/yr)</t>
  </si>
  <si>
    <t>VOC Emission Reduction Benefit</t>
  </si>
  <si>
    <t>Before Improvement</t>
  </si>
  <si>
    <t>n/a</t>
  </si>
  <si>
    <t>After Improvement</t>
  </si>
  <si>
    <t>2021-2030 Demand Growth</t>
  </si>
  <si>
    <t>2030-2045 Demand Growth</t>
  </si>
  <si>
    <t>Total</t>
  </si>
  <si>
    <t>NOX</t>
  </si>
  <si>
    <t>VOC/PM2.5</t>
  </si>
  <si>
    <t>SO2</t>
  </si>
  <si>
    <t>CO2</t>
  </si>
  <si>
    <t>All Rates are in gms/mile</t>
  </si>
  <si>
    <t>Facility Type</t>
  </si>
  <si>
    <t>Speed Bin</t>
  </si>
  <si>
    <t>Brazoria</t>
  </si>
  <si>
    <t>Chambers</t>
  </si>
  <si>
    <t>Galveston</t>
  </si>
  <si>
    <t>Harris</t>
  </si>
  <si>
    <t>Liberty</t>
  </si>
  <si>
    <t>Montgomery</t>
  </si>
  <si>
    <t>Waller</t>
  </si>
  <si>
    <t>Freeway</t>
  </si>
  <si>
    <t>Facility Types</t>
  </si>
  <si>
    <t>All emissions rate are in gms/miles</t>
  </si>
  <si>
    <t>Source</t>
  </si>
  <si>
    <t>https://server.txaqportal.org/storage/uploads/2021/01/15/6001d296e0c1bTxDOT_IAC-A_Task2.2_MOSERS_Module1_01142021.pdf</t>
  </si>
  <si>
    <t>Page 32</t>
  </si>
  <si>
    <t>Improvement Type</t>
  </si>
  <si>
    <t>Service Life of Project</t>
  </si>
  <si>
    <t>Existing transit service improvements, TDM programs, ridesharing
and vanpool programs, and pricing and fare strategies</t>
  </si>
  <si>
    <t>Intersection improvements</t>
  </si>
  <si>
    <t>Signalization improvements</t>
  </si>
  <si>
    <t>Telecommunications/telework programs</t>
  </si>
  <si>
    <t>Intelligent transportation systems (ITS), new buses or alternative fuel buses, bicycle/pedestrian facilities, and park-and-ride lots</t>
  </si>
  <si>
    <t>For rail transit systems, parking structures, and pavements</t>
  </si>
  <si>
    <t>Assumption</t>
  </si>
  <si>
    <t>Grade Separations considered roadway improvements</t>
  </si>
  <si>
    <t>2021 Call For Projects - Benefit-Cost Analysis Assumptions*</t>
  </si>
  <si>
    <t>Common Values:</t>
  </si>
  <si>
    <t>Base Year for Analysis</t>
  </si>
  <si>
    <t>Real Discount Rate</t>
  </si>
  <si>
    <t>Growth Rate</t>
  </si>
  <si>
    <t>County Name</t>
  </si>
  <si>
    <t>2023-2030</t>
  </si>
  <si>
    <t>2030-2045</t>
  </si>
  <si>
    <t>2021 AADT</t>
  </si>
  <si>
    <t>AADT in Year Open to Traffic</t>
  </si>
  <si>
    <t>2022 Average Daily Traffic Volume of Corridors Affected by project</t>
  </si>
  <si>
    <t>Discounted NOx Benefit (3.1%)</t>
  </si>
  <si>
    <t>Discounted VOC Benefit (3.1%)</t>
  </si>
  <si>
    <t>Value of Emissions per Metric Ton, Benefit-Cost Analysis Guidance for
Discretionary Grant Programs</t>
  </si>
  <si>
    <t>https://www.transportation.gov/sites/dot.gov/files/2023-12/Benefit%20Cost%20Analysis%20Guidance%202024%20Update.pdf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</si>
</sst>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
    <numFmt numFmtId="170" formatCode="_(* #,##0.0000_);_(* \(#,##0.0000\);_(* &quot;-&quot;????_);_(@_)"/>
    <numFmt numFmtId="171" formatCode="#,##0.0"/>
    <numFmt numFmtId="172"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31">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2" fontId="0" fillId="0" borderId="0" xfId="0" applyNumberFormat="1"/>
    <xf numFmtId="0" fontId="0" fillId="0" borderId="0" xfId="0" applyAlignment="1">
      <alignment vertical="center"/>
    </xf>
    <xf numFmtId="0" fontId="3" fillId="0" borderId="1" xfId="0" applyFont="1" applyBorder="1"/>
    <xf numFmtId="0" fontId="0" fillId="0" borderId="1" xfId="0" applyBorder="1"/>
    <xf numFmtId="2" fontId="3" fillId="0" borderId="1" xfId="0" applyNumberFormat="1" applyFont="1" applyBorder="1"/>
    <xf numFmtId="2" fontId="0" fillId="0" borderId="1" xfId="0" applyNumberFormat="1" applyBorder="1"/>
    <xf numFmtId="168" fontId="3" fillId="0" borderId="1" xfId="0" applyNumberFormat="1" applyFont="1" applyBorder="1"/>
    <xf numFmtId="168" fontId="0" fillId="0" borderId="0" xfId="0" applyNumberFormat="1"/>
    <xf numFmtId="0" fontId="6" fillId="0" borderId="0" xfId="4" applyAlignment="1" applyProtection="1"/>
    <xf numFmtId="0" fontId="0" fillId="0" borderId="1" xfId="0" applyBorder="1" applyAlignment="1">
      <alignment vertical="center" wrapText="1"/>
    </xf>
    <xf numFmtId="0" fontId="0" fillId="10" borderId="1" xfId="0" applyFill="1" applyBorder="1" applyAlignment="1">
      <alignment vertical="center" wrapText="1"/>
    </xf>
    <xf numFmtId="0" fontId="0" fillId="0" borderId="1" xfId="0" applyBorder="1" applyAlignment="1">
      <alignment vertical="top"/>
    </xf>
    <xf numFmtId="0" fontId="0" fillId="0" borderId="1" xfId="0" applyBorder="1" applyAlignment="1">
      <alignment horizontal="center" vertical="center" wrapText="1"/>
    </xf>
    <xf numFmtId="0" fontId="0" fillId="2" borderId="1" xfId="0" applyFill="1" applyBorder="1" applyAlignment="1" applyProtection="1">
      <alignment horizontal="left" vertical="center" wrapText="1"/>
      <protection locked="0"/>
    </xf>
    <xf numFmtId="0" fontId="0" fillId="14" borderId="1" xfId="0" applyFill="1" applyBorder="1" applyAlignment="1">
      <alignment vertical="center"/>
    </xf>
    <xf numFmtId="0" fontId="8" fillId="0" borderId="5" xfId="0" applyFont="1" applyBorder="1" applyAlignment="1">
      <alignment vertical="center"/>
    </xf>
    <xf numFmtId="0" fontId="0" fillId="0" borderId="5" xfId="0" applyBorder="1" applyAlignment="1">
      <alignment vertical="center"/>
    </xf>
    <xf numFmtId="0" fontId="2" fillId="3" borderId="1" xfId="0" applyFont="1" applyFill="1" applyBorder="1" applyAlignment="1">
      <alignment vertical="center"/>
    </xf>
    <xf numFmtId="0" fontId="0" fillId="2" borderId="1" xfId="0" applyFill="1" applyBorder="1" applyAlignment="1">
      <alignment vertical="center"/>
    </xf>
    <xf numFmtId="0" fontId="0" fillId="4" borderId="1" xfId="0" applyFill="1" applyBorder="1" applyAlignment="1">
      <alignment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14" borderId="7" xfId="0" applyFill="1" applyBorder="1" applyAlignment="1">
      <alignment vertical="center"/>
    </xf>
    <xf numFmtId="3" fontId="0" fillId="0" borderId="0" xfId="0" applyNumberFormat="1" applyAlignment="1">
      <alignment vertical="center"/>
    </xf>
    <xf numFmtId="0" fontId="2" fillId="5" borderId="1" xfId="0" applyFont="1" applyFill="1" applyBorder="1" applyAlignment="1">
      <alignment vertical="center"/>
    </xf>
    <xf numFmtId="0" fontId="0" fillId="0" borderId="0" xfId="0"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2" borderId="1" xfId="0" applyFill="1" applyBorder="1" applyAlignment="1" applyProtection="1">
      <alignment horizontal="left" vertical="center"/>
      <protection locked="0"/>
    </xf>
    <xf numFmtId="3" fontId="0" fillId="2" borderId="1" xfId="0" applyNumberFormat="1" applyFill="1" applyBorder="1" applyAlignment="1" applyProtection="1">
      <alignment horizontal="left" vertical="center"/>
      <protection locked="0"/>
    </xf>
    <xf numFmtId="3" fontId="0" fillId="0" borderId="0" xfId="0" applyNumberFormat="1" applyAlignment="1">
      <alignment horizontal="left" vertical="center"/>
    </xf>
    <xf numFmtId="165" fontId="0" fillId="0" borderId="0" xfId="0" applyNumberFormat="1" applyAlignment="1">
      <alignment horizontal="left" vertical="center"/>
    </xf>
    <xf numFmtId="165" fontId="0" fillId="4" borderId="1" xfId="0" applyNumberFormat="1" applyFill="1" applyBorder="1" applyAlignment="1">
      <alignment horizontal="left" vertical="center"/>
    </xf>
    <xf numFmtId="43" fontId="0" fillId="4" borderId="1" xfId="1" applyFont="1" applyFill="1" applyBorder="1" applyAlignment="1" applyProtection="1">
      <alignment horizontal="left" vertical="center"/>
    </xf>
    <xf numFmtId="0" fontId="0" fillId="14" borderId="1" xfId="0" applyFill="1" applyBorder="1" applyAlignment="1">
      <alignment horizontal="left" vertical="center"/>
    </xf>
    <xf numFmtId="0" fontId="0" fillId="0" borderId="0" xfId="0" applyProtection="1">
      <protection locked="0"/>
    </xf>
    <xf numFmtId="10" fontId="0" fillId="0" borderId="0" xfId="3" applyNumberFormat="1" applyFont="1" applyProtection="1">
      <protection locked="0"/>
    </xf>
    <xf numFmtId="165" fontId="0" fillId="0" borderId="0" xfId="0" applyNumberFormat="1" applyProtection="1">
      <protection locked="0"/>
    </xf>
    <xf numFmtId="169" fontId="0" fillId="0" borderId="0" xfId="0" applyNumberFormat="1" applyProtection="1">
      <protection locked="0"/>
    </xf>
    <xf numFmtId="6" fontId="0" fillId="0" borderId="0" xfId="0" applyNumberFormat="1" applyProtection="1">
      <protection locked="0"/>
    </xf>
    <xf numFmtId="10" fontId="0" fillId="11" borderId="1" xfId="3" applyNumberFormat="1" applyFont="1" applyFill="1" applyBorder="1" applyProtection="1">
      <protection locked="0"/>
    </xf>
    <xf numFmtId="43" fontId="0" fillId="0" borderId="0" xfId="0" applyNumberFormat="1" applyProtection="1">
      <protection locked="0"/>
    </xf>
    <xf numFmtId="8" fontId="0" fillId="0" borderId="0" xfId="0" applyNumberFormat="1" applyProtection="1">
      <protection locked="0"/>
    </xf>
    <xf numFmtId="10" fontId="0" fillId="0" borderId="0" xfId="3" applyNumberFormat="1" applyFont="1" applyProtection="1"/>
    <xf numFmtId="165" fontId="0" fillId="0" borderId="0" xfId="0" applyNumberFormat="1"/>
    <xf numFmtId="0" fontId="2" fillId="9" borderId="0" xfId="0" applyFont="1" applyFill="1" applyAlignment="1">
      <alignment horizontal="center" vertical="center"/>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10" fontId="2" fillId="9" borderId="1" xfId="3" applyNumberFormat="1" applyFont="1" applyFill="1" applyBorder="1" applyAlignment="1" applyProtection="1">
      <alignment horizontal="center" vertical="center" wrapText="1"/>
    </xf>
    <xf numFmtId="165" fontId="2" fillId="9" borderId="2"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165" fontId="2" fillId="9"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xf>
    <xf numFmtId="168" fontId="0" fillId="0" borderId="2" xfId="0" applyNumberFormat="1" applyBorder="1"/>
    <xf numFmtId="168" fontId="0" fillId="0" borderId="1" xfId="0" applyNumberFormat="1" applyBorder="1"/>
    <xf numFmtId="0" fontId="0" fillId="0" borderId="1" xfId="0"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43" fontId="0" fillId="0" borderId="1" xfId="1" applyFont="1" applyBorder="1" applyProtection="1"/>
    <xf numFmtId="170" fontId="0" fillId="0" borderId="1" xfId="1" applyNumberFormat="1" applyFont="1" applyFill="1" applyBorder="1" applyProtection="1"/>
    <xf numFmtId="165" fontId="9" fillId="0" borderId="1" xfId="2" applyNumberFormat="1" applyFont="1" applyBorder="1" applyProtection="1"/>
    <xf numFmtId="165" fontId="9" fillId="13" borderId="1" xfId="2" applyNumberFormat="1" applyFont="1" applyFill="1" applyBorder="1" applyProtection="1"/>
    <xf numFmtId="43" fontId="0" fillId="0" borderId="1" xfId="1" applyFont="1" applyFill="1" applyBorder="1" applyProtection="1"/>
    <xf numFmtId="0" fontId="0" fillId="10" borderId="4" xfId="0" applyFill="1" applyBorder="1" applyAlignment="1">
      <alignment horizontal="center"/>
    </xf>
    <xf numFmtId="168" fontId="0" fillId="0" borderId="6" xfId="0" applyNumberFormat="1" applyBorder="1"/>
    <xf numFmtId="168" fontId="0" fillId="0" borderId="4" xfId="0" applyNumberFormat="1" applyBorder="1"/>
    <xf numFmtId="10" fontId="0" fillId="0" borderId="0" xfId="3" applyNumberFormat="1" applyFont="1" applyFill="1" applyBorder="1" applyProtection="1"/>
    <xf numFmtId="165" fontId="0" fillId="0" borderId="1" xfId="2" applyNumberFormat="1" applyFont="1" applyBorder="1" applyProtection="1"/>
    <xf numFmtId="165" fontId="0" fillId="13" borderId="1" xfId="2" applyNumberFormat="1" applyFont="1" applyFill="1" applyBorder="1" applyProtection="1"/>
    <xf numFmtId="165" fontId="0" fillId="0" borderId="1" xfId="1" applyNumberFormat="1" applyFont="1" applyBorder="1" applyProtection="1"/>
    <xf numFmtId="3" fontId="0" fillId="0" borderId="0" xfId="0" applyNumberFormat="1" applyProtection="1">
      <protection locked="0"/>
    </xf>
    <xf numFmtId="0" fontId="0" fillId="0" borderId="1" xfId="0" applyBorder="1" applyProtection="1">
      <protection locked="0"/>
    </xf>
    <xf numFmtId="10" fontId="0" fillId="0" borderId="0" xfId="0" applyNumberFormat="1" applyAlignment="1" applyProtection="1">
      <alignment horizontal="center"/>
      <protection locked="0"/>
    </xf>
    <xf numFmtId="10" fontId="0" fillId="0" borderId="0" xfId="0" applyNumberFormat="1" applyProtection="1">
      <protection locked="0"/>
    </xf>
    <xf numFmtId="3" fontId="0" fillId="0" borderId="1" xfId="0" applyNumberFormat="1" applyBorder="1" applyAlignment="1" applyProtection="1">
      <alignment horizontal="center" vertical="center"/>
      <protection locked="0"/>
    </xf>
    <xf numFmtId="0" fontId="0" fillId="0" borderId="1" xfId="0" applyBorder="1" applyAlignment="1" applyProtection="1">
      <alignment wrapText="1"/>
      <protection locked="0"/>
    </xf>
    <xf numFmtId="10" fontId="0" fillId="0" borderId="1" xfId="0" applyNumberFormat="1" applyBorder="1" applyAlignment="1" applyProtection="1">
      <alignment horizontal="center" vertical="center"/>
      <protection locked="0"/>
    </xf>
    <xf numFmtId="0" fontId="3" fillId="10" borderId="1" xfId="0" applyFont="1" applyFill="1" applyBorder="1"/>
    <xf numFmtId="10" fontId="0" fillId="0" borderId="1" xfId="0" applyNumberFormat="1" applyBorder="1"/>
    <xf numFmtId="171" fontId="0" fillId="2" borderId="1" xfId="0" applyNumberFormat="1" applyFill="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6" fontId="0" fillId="0" borderId="0" xfId="0" applyNumberFormat="1" applyAlignment="1">
      <alignment horizontal="center" vertical="center"/>
    </xf>
    <xf numFmtId="6" fontId="0" fillId="0" borderId="12" xfId="0" applyNumberFormat="1" applyBorder="1" applyAlignment="1">
      <alignment horizontal="center" vertical="center"/>
    </xf>
    <xf numFmtId="0" fontId="0" fillId="0" borderId="13" xfId="0" applyBorder="1" applyAlignment="1">
      <alignment horizontal="center" vertical="center"/>
    </xf>
    <xf numFmtId="6" fontId="0" fillId="0" borderId="5" xfId="0" applyNumberFormat="1" applyBorder="1" applyAlignment="1">
      <alignment horizontal="center" vertical="center"/>
    </xf>
    <xf numFmtId="6" fontId="0" fillId="0" borderId="14" xfId="0" applyNumberFormat="1" applyBorder="1" applyAlignment="1">
      <alignment horizontal="center" vertical="center"/>
    </xf>
    <xf numFmtId="172" fontId="0" fillId="0" borderId="1" xfId="0" applyNumberFormat="1" applyBorder="1" applyAlignment="1">
      <alignment horizontal="right" vertical="top"/>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xf numFmtId="0" fontId="2" fillId="15" borderId="5" xfId="0"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98601</xdr:rowOff>
    </xdr:from>
    <xdr:to>
      <xdr:col>8</xdr:col>
      <xdr:colOff>359229</xdr:colOff>
      <xdr:row>32</xdr:row>
      <xdr:rowOff>119742</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98601"/>
          <a:ext cx="9187543" cy="5942970"/>
        </a:xfrm>
        <a:prstGeom prst="rect">
          <a:avLst/>
        </a:prstGeom>
        <a:solidFill>
          <a:schemeClr val="bg1">
            <a:lumMod val="95000"/>
          </a:schemeClr>
        </a:solidFill>
        <a:ln w="9525">
          <a:solidFill>
            <a:schemeClr val="accent1">
              <a:lumMod val="50000"/>
            </a:schemeClr>
          </a:solidFill>
          <a:miter lim="800000"/>
          <a:headEnd/>
          <a:tailEnd/>
        </a:ln>
      </xdr:spPr>
      <xdr:txBody>
        <a:bodyPr vertOverflow="clip" wrap="square" lIns="91440" tIns="45720" rIns="91440" bIns="45720" anchor="t" upright="1"/>
        <a:lstStyle/>
        <a:p>
          <a:r>
            <a:rPr lang="en-US" sz="1100" b="1">
              <a:effectLst/>
              <a:latin typeface="+mn-lt"/>
              <a:ea typeface="+mn-ea"/>
              <a:cs typeface="+mn-cs"/>
            </a:rPr>
            <a:t>Instructions: </a:t>
          </a:r>
          <a:endParaRPr lang="en-US" sz="1100">
            <a:effectLst/>
            <a:latin typeface="+mn-lt"/>
            <a:ea typeface="+mn-ea"/>
            <a:cs typeface="+mn-cs"/>
          </a:endParaRPr>
        </a:p>
        <a:p>
          <a:r>
            <a:rPr lang="en-US" sz="1100">
              <a:effectLst/>
              <a:latin typeface="+mn-lt"/>
              <a:ea typeface="+mn-ea"/>
              <a:cs typeface="+mn-cs"/>
            </a:rPr>
            <a:t>On the "Inputs &amp; Outputs" tab, fill in all "blue". </a:t>
          </a:r>
        </a:p>
        <a:p>
          <a:endParaRPr lang="en-US" sz="1100">
            <a:effectLst/>
            <a:latin typeface="+mn-lt"/>
            <a:ea typeface="+mn-ea"/>
            <a:cs typeface="+mn-cs"/>
          </a:endParaRPr>
        </a:p>
        <a:p>
          <a:r>
            <a:rPr lang="en-US" sz="1100">
              <a:effectLst/>
              <a:latin typeface="+mn-lt"/>
              <a:ea typeface="+mn-ea"/>
              <a:cs typeface="+mn-cs"/>
            </a:rPr>
            <a:t>Project Information:</a:t>
          </a:r>
        </a:p>
        <a:p>
          <a:r>
            <a:rPr lang="en-US" sz="1100" i="1">
              <a:effectLst/>
              <a:latin typeface="+mn-lt"/>
              <a:ea typeface="+mn-ea"/>
              <a:cs typeface="+mn-cs"/>
            </a:rPr>
            <a:t>	Project Title: </a:t>
          </a:r>
          <a:r>
            <a:rPr lang="en-US" sz="1100">
              <a:effectLst/>
              <a:latin typeface="+mn-lt"/>
              <a:ea typeface="+mn-ea"/>
              <a:cs typeface="+mn-cs"/>
            </a:rPr>
            <a:t>Enter proposed project name/Title</a:t>
          </a:r>
        </a:p>
        <a:p>
          <a:r>
            <a:rPr lang="en-US" sz="1100">
              <a:effectLst/>
              <a:latin typeface="+mn-lt"/>
              <a:ea typeface="+mn-ea"/>
              <a:cs typeface="+mn-cs"/>
            </a:rPr>
            <a:t>	</a:t>
          </a:r>
          <a:r>
            <a:rPr lang="en-US" sz="1100" i="1">
              <a:effectLst/>
              <a:latin typeface="+mn-lt"/>
              <a:ea typeface="+mn-ea"/>
              <a:cs typeface="+mn-cs"/>
            </a:rPr>
            <a:t>Application ID Number: </a:t>
          </a:r>
          <a:r>
            <a:rPr lang="en-US" sz="1100">
              <a:effectLst/>
              <a:latin typeface="+mn-lt"/>
              <a:ea typeface="+mn-ea"/>
              <a:cs typeface="+mn-cs"/>
            </a:rPr>
            <a:t>Enter online project ID number</a:t>
          </a:r>
        </a:p>
        <a:p>
          <a:r>
            <a:rPr lang="en-US" sz="1100" i="1">
              <a:effectLst/>
              <a:latin typeface="+mn-lt"/>
              <a:ea typeface="+mn-ea"/>
              <a:cs typeface="+mn-cs"/>
            </a:rPr>
            <a:t>	County:</a:t>
          </a:r>
          <a:r>
            <a:rPr lang="en-US" sz="1100">
              <a:effectLst/>
              <a:latin typeface="+mn-lt"/>
              <a:ea typeface="+mn-ea"/>
              <a:cs typeface="+mn-cs"/>
            </a:rPr>
            <a:t> Please select project county from the drop-down list.  If the proposed roadway project is in more than one county, then 	select the county 	that contains majority of the project area.</a:t>
          </a:r>
        </a:p>
        <a:p>
          <a:endParaRPr lang="en-US" sz="1100">
            <a:effectLst/>
            <a:latin typeface="+mn-lt"/>
            <a:ea typeface="+mn-ea"/>
            <a:cs typeface="+mn-cs"/>
          </a:endParaRPr>
        </a:p>
        <a:p>
          <a:r>
            <a:rPr lang="en-US" sz="1100">
              <a:effectLst/>
              <a:latin typeface="+mn-lt"/>
              <a:ea typeface="+mn-ea"/>
              <a:cs typeface="+mn-cs"/>
            </a:rPr>
            <a:t>Proposed Improvement Information:</a:t>
          </a:r>
        </a:p>
        <a:p>
          <a:r>
            <a:rPr lang="en-US" sz="1100" i="1">
              <a:effectLst/>
              <a:latin typeface="+mn-lt"/>
              <a:ea typeface="+mn-ea"/>
              <a:cs typeface="+mn-cs"/>
            </a:rPr>
            <a:t>	Year Open to Traffic? Must be &gt;=2025</a:t>
          </a:r>
          <a:r>
            <a:rPr lang="en-US" sz="1100">
              <a:effectLst/>
              <a:latin typeface="+mn-lt"/>
              <a:ea typeface="+mn-ea"/>
              <a:cs typeface="+mn-cs"/>
            </a:rPr>
            <a:t>: Select Open to Traffic from the drop-down list. </a:t>
          </a:r>
        </a:p>
        <a:p>
          <a:r>
            <a:rPr lang="en-US" sz="1100" i="1">
              <a:effectLst/>
              <a:latin typeface="+mn-lt"/>
              <a:ea typeface="+mn-ea"/>
              <a:cs typeface="+mn-cs"/>
            </a:rPr>
            <a:t>	Type of Improvement</a:t>
          </a:r>
          <a:r>
            <a:rPr lang="en-US" sz="1100">
              <a:effectLst/>
              <a:latin typeface="+mn-lt"/>
              <a:ea typeface="+mn-ea"/>
              <a:cs typeface="+mn-cs"/>
            </a:rPr>
            <a:t>: Select proposed improvement from the drop-down list. If more than one, improvements are proposed select 	the one with the longest service life. </a:t>
          </a:r>
        </a:p>
        <a:p>
          <a:r>
            <a:rPr lang="en-US" sz="1100">
              <a:effectLst/>
              <a:latin typeface="+mn-lt"/>
              <a:ea typeface="+mn-ea"/>
              <a:cs typeface="+mn-cs"/>
            </a:rPr>
            <a:t>	</a:t>
          </a:r>
          <a:r>
            <a:rPr lang="en-US" sz="1100" i="1">
              <a:effectLst/>
              <a:latin typeface="+mn-lt"/>
              <a:ea typeface="+mn-ea"/>
              <a:cs typeface="+mn-cs"/>
            </a:rPr>
            <a:t>Facility Type</a:t>
          </a:r>
          <a:r>
            <a:rPr lang="en-US" sz="1100">
              <a:effectLst/>
              <a:latin typeface="+mn-lt"/>
              <a:ea typeface="+mn-ea"/>
              <a:cs typeface="+mn-cs"/>
            </a:rPr>
            <a:t>: Select the facility type from the drop-down list.</a:t>
          </a:r>
        </a:p>
        <a:p>
          <a:r>
            <a:rPr lang="en-US" sz="1100" i="1">
              <a:effectLst/>
              <a:latin typeface="+mn-lt"/>
              <a:ea typeface="+mn-ea"/>
              <a:cs typeface="+mn-cs"/>
            </a:rPr>
            <a:t>	Total Length of Corridor Effected by Project (mile): </a:t>
          </a:r>
          <a:r>
            <a:rPr lang="en-US" sz="1100">
              <a:effectLst/>
              <a:latin typeface="+mn-lt"/>
              <a:ea typeface="+mn-ea"/>
              <a:cs typeface="+mn-cs"/>
            </a:rPr>
            <a:t>Enter the project length in miles.</a:t>
          </a:r>
        </a:p>
        <a:p>
          <a:r>
            <a:rPr lang="en-US" sz="1100" i="1">
              <a:effectLst/>
              <a:latin typeface="+mn-lt"/>
              <a:ea typeface="+mn-ea"/>
              <a:cs typeface="+mn-cs"/>
            </a:rPr>
            <a:t>	Average Roadway Speed Before improvement (mph): </a:t>
          </a:r>
          <a:r>
            <a:rPr lang="en-US" sz="1100">
              <a:effectLst/>
              <a:latin typeface="+mn-lt"/>
              <a:ea typeface="+mn-ea"/>
              <a:cs typeface="+mn-cs"/>
            </a:rPr>
            <a:t>Enter the average traffic speed of the roadway before improvement (Information can be 	provided by H-GAC up on request from regional tavel demand model )</a:t>
          </a:r>
        </a:p>
        <a:p>
          <a:r>
            <a:rPr lang="en-US" sz="1100" i="1">
              <a:effectLst/>
              <a:latin typeface="+mn-lt"/>
              <a:ea typeface="+mn-ea"/>
              <a:cs typeface="+mn-cs"/>
            </a:rPr>
            <a:t>	Average Roadway Speed After improvement (mph): </a:t>
          </a:r>
          <a:r>
            <a:rPr lang="en-US" sz="1100">
              <a:effectLst/>
              <a:latin typeface="+mn-lt"/>
              <a:ea typeface="+mn-ea"/>
              <a:cs typeface="+mn-cs"/>
            </a:rPr>
            <a:t>Enter the average traffic speed of the roadway after improvement.</a:t>
          </a:r>
        </a:p>
        <a:p>
          <a:r>
            <a:rPr lang="en-US" sz="1100" i="1">
              <a:effectLst/>
              <a:latin typeface="+mn-lt"/>
              <a:ea typeface="+mn-ea"/>
              <a:cs typeface="+mn-cs"/>
            </a:rPr>
            <a:t>	Service Life of Project (from MoSERS) (Years):</a:t>
          </a:r>
          <a:r>
            <a:rPr lang="en-US" sz="1100">
              <a:effectLst/>
              <a:latin typeface="+mn-lt"/>
              <a:ea typeface="+mn-ea"/>
              <a:cs typeface="+mn-cs"/>
            </a:rPr>
            <a:t> Service life of project is populated based on the selection. </a:t>
          </a:r>
        </a:p>
        <a:p>
          <a:endParaRPr lang="en-US" sz="1100">
            <a:effectLst/>
            <a:latin typeface="+mn-lt"/>
            <a:ea typeface="+mn-ea"/>
            <a:cs typeface="+mn-cs"/>
          </a:endParaRPr>
        </a:p>
        <a:p>
          <a:r>
            <a:rPr lang="en-US" sz="1100">
              <a:effectLst/>
              <a:latin typeface="+mn-lt"/>
              <a:ea typeface="+mn-ea"/>
              <a:cs typeface="+mn-cs"/>
            </a:rPr>
            <a:t>Daily Travel Demand:</a:t>
          </a:r>
        </a:p>
        <a:p>
          <a:r>
            <a:rPr lang="en-US" sz="1100" i="1">
              <a:effectLst/>
              <a:latin typeface="+mn-lt"/>
              <a:ea typeface="+mn-ea"/>
              <a:cs typeface="+mn-cs"/>
            </a:rPr>
            <a:t>	2022 Average Traffic Volume (AADT) (C21): </a:t>
          </a:r>
          <a:r>
            <a:rPr lang="en-US" sz="1100">
              <a:effectLst/>
              <a:latin typeface="+mn-lt"/>
              <a:ea typeface="+mn-ea"/>
              <a:cs typeface="+mn-cs"/>
            </a:rPr>
            <a:t>Sponsors may enter the AADT from latest traffic counts available form H-GAC traffic count data 	interactive</a:t>
          </a:r>
          <a:r>
            <a:rPr lang="en-US" sz="1100" baseline="0">
              <a:effectLst/>
              <a:latin typeface="+mn-lt"/>
              <a:ea typeface="+mn-ea"/>
              <a:cs typeface="+mn-cs"/>
            </a:rPr>
            <a:t> web application available </a:t>
          </a:r>
          <a:r>
            <a:rPr lang="en-US" sz="1100" baseline="0">
              <a:solidFill>
                <a:srgbClr val="0070C0"/>
              </a:solidFill>
              <a:effectLst/>
              <a:latin typeface="+mn-lt"/>
              <a:ea typeface="+mn-ea"/>
              <a:cs typeface="+mn-cs"/>
            </a:rPr>
            <a:t>here</a:t>
          </a:r>
          <a:r>
            <a:rPr lang="en-US" sz="1100" i="1">
              <a:effectLst/>
              <a:latin typeface="+mn-lt"/>
              <a:ea typeface="+mn-ea"/>
              <a:cs typeface="+mn-cs"/>
            </a:rPr>
            <a:t>.</a:t>
          </a:r>
          <a:endParaRPr lang="en-US" sz="1100">
            <a:effectLst/>
            <a:latin typeface="+mn-lt"/>
            <a:ea typeface="+mn-ea"/>
            <a:cs typeface="+mn-cs"/>
          </a:endParaRPr>
        </a:p>
        <a:p>
          <a:r>
            <a:rPr lang="en-US" sz="1100" i="1">
              <a:effectLst/>
              <a:latin typeface="+mn-lt"/>
              <a:ea typeface="+mn-ea"/>
              <a:cs typeface="+mn-cs"/>
            </a:rPr>
            <a:t>	</a:t>
          </a:r>
          <a:endParaRPr lang="en-US" sz="1100">
            <a:effectLst/>
            <a:latin typeface="+mn-lt"/>
            <a:ea typeface="+mn-ea"/>
            <a:cs typeface="+mn-cs"/>
          </a:endParaRPr>
        </a:p>
        <a:p>
          <a:r>
            <a:rPr lang="en-US" sz="1100">
              <a:effectLst/>
              <a:latin typeface="+mn-lt"/>
              <a:ea typeface="+mn-ea"/>
              <a:cs typeface="+mn-cs"/>
            </a:rPr>
            <a:t>Results will be populated in "red" shaded section ("Benefit Results")</a:t>
          </a: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133350</xdr:colOff>
      <xdr:row>7</xdr:row>
      <xdr:rowOff>66675</xdr:rowOff>
    </xdr:from>
    <xdr:to>
      <xdr:col>3</xdr:col>
      <xdr:colOff>971550</xdr:colOff>
      <xdr:row>11</xdr:row>
      <xdr:rowOff>190499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133350" y="1400175"/>
          <a:ext cx="6743700" cy="88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https://www.transportation.gov/sites/dot.gov/files/2021-02/Benefit%20Cost%20Analysis%20Guidance%202021.pdf.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ecandis_h-gac_com/Documents/Projects-%20In%20Process/TIP%20Emissions%20Spreadsheets%20-%202021/Active-Transportation-Emissions-Benefits-Template%202021%20-%20Final%20Revi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gala/AppData/Local/Microsoft/Windows/Temporary%20Internet%20Files/Content.Outlook/YYKLTGMD/Roadway-Transit-Active%20Transportation%20-%20Delay%20Benefits%20-%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nsportation\Staff\Vishu\Vishu_T\Vishu_Working\2045%20RTP\Call%20for%20projects\TAC-07182018\Final%20BCA%20Tempaltes\Safety%20Benefits\Transit-bikeped%20-%20Safety%20Benefits%20-%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candis/Desktop/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S Delay Worksheet"/>
      <sheetName val="Emissions Reduction Worksheet"/>
      <sheetName val="Instructions"/>
      <sheetName val="Inputs &amp; Outputs"/>
      <sheetName val="Calculations"/>
      <sheetName val="Assumed Values"/>
      <sheetName val="Value of Emissions"/>
      <sheetName val="Emission Factors - NOx"/>
      <sheetName val="Emission Factors - VOC"/>
      <sheetName val="Service Lif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Travel Time"/>
      <sheetName val="Delay Reduction Factor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Statistical Life"/>
      <sheetName val="CRASH RATES"/>
      <sheetName val="CRF Lookup 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ransportation.gov/sites/dot.gov/files/2023-12/Benefit%20Cost%20Analysis%20Guidance%202024%20Updat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hyperlink" Target="https://server.txaqportal.org/storage/uploads/2021/01/15/6001d296e0c1bTxDOT_IAC-A_Task2.2_MOSERS_Module1_0114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abSelected="1" zoomScale="70" zoomScaleNormal="70" workbookViewId="0">
      <selection activeCell="K23" sqref="K23"/>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2"/>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C6"/>
  <sheetViews>
    <sheetView zoomScaleNormal="100" workbookViewId="0">
      <selection activeCell="B28" sqref="B28"/>
    </sheetView>
  </sheetViews>
  <sheetFormatPr defaultRowHeight="14.4" x14ac:dyDescent="0.3"/>
  <cols>
    <col min="1" max="1" width="3.44140625" customWidth="1"/>
    <col min="2" max="2" width="62.44140625" bestFit="1" customWidth="1"/>
    <col min="3" max="3" width="22.6640625" bestFit="1" customWidth="1"/>
    <col min="4" max="4" width="20" bestFit="1" customWidth="1"/>
  </cols>
  <sheetData>
    <row r="2" spans="2:3" x14ac:dyDescent="0.3">
      <c r="B2" s="1" t="s">
        <v>124</v>
      </c>
    </row>
    <row r="4" spans="2:3" x14ac:dyDescent="0.3">
      <c r="B4" s="1" t="s">
        <v>125</v>
      </c>
    </row>
    <row r="5" spans="2:3" x14ac:dyDescent="0.3">
      <c r="B5" s="46" t="s">
        <v>126</v>
      </c>
      <c r="C5" s="46">
        <v>2021</v>
      </c>
    </row>
    <row r="6" spans="2:3" x14ac:dyDescent="0.3">
      <c r="B6" s="46" t="s">
        <v>127</v>
      </c>
      <c r="C6" s="126">
        <v>3.1E-2</v>
      </c>
    </row>
  </sheetData>
  <sheetProtection algorithmName="SHA-512" hashValue="Di2oO5+GshnrbfCAW0/CedLT6H6v3G9sZTTUK8+Rpu7aZTEyS5t7KYJPdL2hFrxF+60Fjgzu1v7UytmGLObdew==" saltValue="QuodOVRi3dtUESj4/7gEGw==" spinCount="100000" sheet="1" objects="1" scenarios="1"/>
  <pageMargins left="0.25" right="0.25" top="0.75" bottom="0.75" header="0.3" footer="0.3"/>
  <pageSetup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25F6-1232-4CB7-86BD-C88D07291102}">
  <dimension ref="A1:M16"/>
  <sheetViews>
    <sheetView workbookViewId="0">
      <selection activeCell="D15" sqref="D15"/>
    </sheetView>
  </sheetViews>
  <sheetFormatPr defaultColWidth="8.88671875" defaultRowHeight="14.4" x14ac:dyDescent="0.3"/>
  <cols>
    <col min="1" max="1" width="3.109375" style="70" customWidth="1"/>
    <col min="2" max="2" width="13.6640625" style="70" customWidth="1"/>
    <col min="3" max="3" width="12" style="70" bestFit="1" customWidth="1"/>
    <col min="4" max="4" width="11.33203125" style="70" bestFit="1" customWidth="1"/>
    <col min="5" max="16384" width="8.88671875" style="70"/>
  </cols>
  <sheetData>
    <row r="1" spans="1:13" x14ac:dyDescent="0.3">
      <c r="A1"/>
      <c r="B1"/>
      <c r="C1"/>
      <c r="D1"/>
    </row>
    <row r="2" spans="1:13" x14ac:dyDescent="0.3">
      <c r="A2"/>
      <c r="B2"/>
      <c r="C2" s="94" t="s">
        <v>128</v>
      </c>
      <c r="D2" s="94" t="s">
        <v>128</v>
      </c>
    </row>
    <row r="3" spans="1:13" x14ac:dyDescent="0.3">
      <c r="A3"/>
      <c r="B3" s="114" t="s">
        <v>129</v>
      </c>
      <c r="C3" s="94" t="s">
        <v>130</v>
      </c>
      <c r="D3" s="115" t="s">
        <v>131</v>
      </c>
      <c r="E3" s="107"/>
      <c r="M3" s="107"/>
    </row>
    <row r="4" spans="1:13" x14ac:dyDescent="0.3">
      <c r="A4"/>
      <c r="B4" s="38" t="s">
        <v>101</v>
      </c>
      <c r="C4" s="94">
        <v>1.6465250156540216E-2</v>
      </c>
      <c r="D4" s="115">
        <v>3.5990313013993261E-2</v>
      </c>
      <c r="E4" s="107"/>
    </row>
    <row r="5" spans="1:13" x14ac:dyDescent="0.3">
      <c r="A5"/>
      <c r="B5" s="38" t="s">
        <v>102</v>
      </c>
      <c r="C5" s="94">
        <v>1.5615221198574572E-2</v>
      </c>
      <c r="D5" s="115">
        <v>2.4287640268739003E-2</v>
      </c>
      <c r="E5" s="107"/>
    </row>
    <row r="6" spans="1:13" x14ac:dyDescent="0.3">
      <c r="A6"/>
      <c r="B6" s="38" t="s">
        <v>54</v>
      </c>
      <c r="C6" s="94">
        <v>3.195266160252231E-2</v>
      </c>
      <c r="D6" s="115">
        <v>2.6990658283985388E-2</v>
      </c>
      <c r="E6" s="107"/>
    </row>
    <row r="7" spans="1:13" x14ac:dyDescent="0.3">
      <c r="A7"/>
      <c r="B7" s="38" t="s">
        <v>103</v>
      </c>
      <c r="C7" s="94">
        <v>1.9699867662153519E-2</v>
      </c>
      <c r="D7" s="115">
        <v>1.3066379160471426E-2</v>
      </c>
      <c r="E7" s="107"/>
    </row>
    <row r="8" spans="1:13" x14ac:dyDescent="0.3">
      <c r="A8"/>
      <c r="B8" s="38" t="s">
        <v>104</v>
      </c>
      <c r="C8" s="94">
        <v>1.9512302850000194E-2</v>
      </c>
      <c r="D8" s="115">
        <v>1.2024674308902259E-2</v>
      </c>
      <c r="E8" s="107"/>
    </row>
    <row r="9" spans="1:13" x14ac:dyDescent="0.3">
      <c r="A9"/>
      <c r="B9" s="38" t="s">
        <v>105</v>
      </c>
      <c r="C9" s="94">
        <v>1.782356260884985E-2</v>
      </c>
      <c r="D9" s="115">
        <v>2.9745043736646361E-2</v>
      </c>
      <c r="E9" s="107"/>
    </row>
    <row r="10" spans="1:13" x14ac:dyDescent="0.3">
      <c r="A10"/>
      <c r="B10" s="38" t="s">
        <v>106</v>
      </c>
      <c r="C10" s="94">
        <v>2.508906394952868E-2</v>
      </c>
      <c r="D10" s="115">
        <v>2.4222517026481549E-2</v>
      </c>
      <c r="E10" s="107"/>
    </row>
    <row r="11" spans="1:13" x14ac:dyDescent="0.3">
      <c r="A11"/>
      <c r="B11" s="38" t="s">
        <v>107</v>
      </c>
      <c r="C11" s="94">
        <v>2.4045854892342022E-2</v>
      </c>
      <c r="D11" s="115">
        <v>4.1038431317052267E-2</v>
      </c>
      <c r="E11" s="107"/>
    </row>
    <row r="12" spans="1:13" x14ac:dyDescent="0.3">
      <c r="C12" s="109"/>
      <c r="D12" s="110"/>
      <c r="E12" s="107"/>
    </row>
    <row r="13" spans="1:13" x14ac:dyDescent="0.3">
      <c r="B13" s="130" t="s">
        <v>128</v>
      </c>
      <c r="C13" s="130"/>
    </row>
    <row r="14" spans="1:13" x14ac:dyDescent="0.3">
      <c r="B14" s="108" t="s">
        <v>132</v>
      </c>
      <c r="C14" s="111">
        <v>12000</v>
      </c>
    </row>
    <row r="15" spans="1:13" ht="28.8" x14ac:dyDescent="0.3">
      <c r="B15" s="112" t="s">
        <v>133</v>
      </c>
      <c r="C15" s="111">
        <v>13800</v>
      </c>
    </row>
    <row r="16" spans="1:13" x14ac:dyDescent="0.3">
      <c r="B16" s="108" t="s">
        <v>128</v>
      </c>
      <c r="C16" s="113">
        <f>(($C$15/$C$14)^(1/('Inputs &amp; Outputs'!$C$12-2021)))-1</f>
        <v>2.8346722100213606E-2</v>
      </c>
    </row>
  </sheetData>
  <sheetProtection algorithmName="SHA-512" hashValue="9qQsdbB2YSkv4egzI0uIWUzhAGjIATpTw8kndBlRtoWhCDZZqZ6I/9lQBWpfyEASW/UmJeOWSht3WfzynePhfQ==" saltValue="DOR7VD2bbUMz5hdGqpQqOQ==" spinCount="100000" sheet="1" objects="1" scenarios="1"/>
  <mergeCells count="1">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5" t="s">
        <v>0</v>
      </c>
      <c r="D3" s="5" t="s">
        <v>1</v>
      </c>
      <c r="E3" s="6" t="s">
        <v>2</v>
      </c>
      <c r="G3" s="12" t="s">
        <v>3</v>
      </c>
      <c r="H3" s="12"/>
      <c r="I3" s="12" t="s">
        <v>4</v>
      </c>
      <c r="J3" s="12" t="s">
        <v>5</v>
      </c>
    </row>
    <row r="4" spans="1:10" x14ac:dyDescent="0.3">
      <c r="A4" s="3" t="s">
        <v>6</v>
      </c>
      <c r="B4" s="4"/>
      <c r="D4" s="3" t="s">
        <v>7</v>
      </c>
      <c r="E4" s="4">
        <v>2015</v>
      </c>
      <c r="G4" s="10">
        <f>E4</f>
        <v>2015</v>
      </c>
      <c r="H4" s="10">
        <f>IF(G4&lt;2041,1,0)</f>
        <v>1</v>
      </c>
      <c r="I4" s="19">
        <f>IF($G4&lt;($G$4+$E$5),$E$17,0)*H4</f>
        <v>0</v>
      </c>
      <c r="J4" s="24" t="e">
        <f>I4*$B$18*$B$19/10^3</f>
        <v>#REF!</v>
      </c>
    </row>
    <row r="5" spans="1:10" x14ac:dyDescent="0.3">
      <c r="A5" s="3" t="s">
        <v>8</v>
      </c>
      <c r="B5" s="4"/>
      <c r="D5" s="3" t="s">
        <v>9</v>
      </c>
      <c r="E5" s="7">
        <v>10</v>
      </c>
      <c r="G5" s="11">
        <f t="shared" ref="G5:G29" si="0">G4+1</f>
        <v>2016</v>
      </c>
      <c r="H5" s="11">
        <f t="shared" ref="H5:H29" si="1">IF(G5&lt;2041,1,0)</f>
        <v>1</v>
      </c>
      <c r="I5" s="19">
        <f t="shared" ref="I5:I29" si="2">IF($G5&lt;($G$4+$E$5),$E$17,0)*H5</f>
        <v>0</v>
      </c>
      <c r="J5" s="31" t="e">
        <f t="shared" ref="J5:J24" si="3">I5*$B$18*$B$19/10^3</f>
        <v>#REF!</v>
      </c>
    </row>
    <row r="6" spans="1:10" x14ac:dyDescent="0.3">
      <c r="A6" s="3" t="s">
        <v>10</v>
      </c>
      <c r="B6" s="4">
        <v>1</v>
      </c>
      <c r="D6" s="127" t="s">
        <v>11</v>
      </c>
      <c r="E6" s="128"/>
      <c r="G6" s="10">
        <f t="shared" si="0"/>
        <v>2017</v>
      </c>
      <c r="H6" s="10">
        <f t="shared" si="1"/>
        <v>1</v>
      </c>
      <c r="I6" s="19">
        <f t="shared" si="2"/>
        <v>0</v>
      </c>
      <c r="J6" s="24" t="e">
        <f t="shared" si="3"/>
        <v>#REF!</v>
      </c>
    </row>
    <row r="7" spans="1:10" x14ac:dyDescent="0.3">
      <c r="A7" s="3" t="s">
        <v>12</v>
      </c>
      <c r="B7" s="20"/>
      <c r="D7" s="3" t="s">
        <v>13</v>
      </c>
      <c r="E7" s="7"/>
      <c r="G7" s="11">
        <f t="shared" si="0"/>
        <v>2018</v>
      </c>
      <c r="H7" s="11">
        <f t="shared" si="1"/>
        <v>1</v>
      </c>
      <c r="I7" s="19">
        <f t="shared" si="2"/>
        <v>0</v>
      </c>
      <c r="J7" s="31" t="e">
        <f t="shared" si="3"/>
        <v>#REF!</v>
      </c>
    </row>
    <row r="8" spans="1:10" x14ac:dyDescent="0.3">
      <c r="A8" s="3" t="s">
        <v>14</v>
      </c>
      <c r="B8" s="20"/>
      <c r="D8" s="3" t="s">
        <v>15</v>
      </c>
      <c r="E8" s="34">
        <v>1.1499999999999999</v>
      </c>
      <c r="G8" s="10">
        <f t="shared" si="0"/>
        <v>2019</v>
      </c>
      <c r="H8" s="10">
        <f t="shared" si="1"/>
        <v>1</v>
      </c>
      <c r="I8" s="19">
        <f t="shared" si="2"/>
        <v>0</v>
      </c>
      <c r="J8" s="24" t="e">
        <f t="shared" si="3"/>
        <v>#REF!</v>
      </c>
    </row>
    <row r="9" spans="1:10" x14ac:dyDescent="0.3">
      <c r="G9" s="11">
        <f t="shared" si="0"/>
        <v>2020</v>
      </c>
      <c r="H9" s="11">
        <f t="shared" si="1"/>
        <v>1</v>
      </c>
      <c r="I9" s="19">
        <f t="shared" si="2"/>
        <v>0</v>
      </c>
      <c r="J9" s="31" t="e">
        <f t="shared" si="3"/>
        <v>#REF!</v>
      </c>
    </row>
    <row r="10" spans="1:10" x14ac:dyDescent="0.3">
      <c r="A10" s="9" t="s">
        <v>16</v>
      </c>
      <c r="G10" s="10">
        <f t="shared" si="0"/>
        <v>2021</v>
      </c>
      <c r="H10" s="10">
        <f t="shared" si="1"/>
        <v>1</v>
      </c>
      <c r="I10" s="19">
        <f t="shared" si="2"/>
        <v>0</v>
      </c>
      <c r="J10" s="24" t="e">
        <f t="shared" si="3"/>
        <v>#REF!</v>
      </c>
    </row>
    <row r="11" spans="1:10" x14ac:dyDescent="0.3">
      <c r="A11" s="8" t="s">
        <v>17</v>
      </c>
      <c r="B11" s="32" t="e">
        <f>NPV($B$17,J4:J29)/(1+$B$17)^(E4-B16+1)</f>
        <v>#REF!</v>
      </c>
      <c r="G11" s="11">
        <f t="shared" si="0"/>
        <v>2022</v>
      </c>
      <c r="H11" s="11">
        <f t="shared" si="1"/>
        <v>1</v>
      </c>
      <c r="I11" s="19">
        <f t="shared" si="2"/>
        <v>0</v>
      </c>
      <c r="J11" s="31" t="e">
        <f t="shared" si="3"/>
        <v>#REF!</v>
      </c>
    </row>
    <row r="12" spans="1:10" x14ac:dyDescent="0.3">
      <c r="A12" s="8" t="s">
        <v>18</v>
      </c>
      <c r="B12" s="30" t="e">
        <f>B11/B7</f>
        <v>#REF!</v>
      </c>
      <c r="G12" s="10">
        <f t="shared" si="0"/>
        <v>2023</v>
      </c>
      <c r="H12" s="10">
        <f t="shared" si="1"/>
        <v>1</v>
      </c>
      <c r="I12" s="19">
        <f t="shared" si="2"/>
        <v>0</v>
      </c>
      <c r="J12" s="24" t="e">
        <f t="shared" si="3"/>
        <v>#REF!</v>
      </c>
    </row>
    <row r="13" spans="1:10" x14ac:dyDescent="0.3">
      <c r="G13" s="11">
        <f t="shared" si="0"/>
        <v>2024</v>
      </c>
      <c r="H13" s="11">
        <f t="shared" si="1"/>
        <v>1</v>
      </c>
      <c r="I13" s="19">
        <f t="shared" si="2"/>
        <v>0</v>
      </c>
      <c r="J13" s="31" t="e">
        <f t="shared" si="3"/>
        <v>#REF!</v>
      </c>
    </row>
    <row r="14" spans="1:10" x14ac:dyDescent="0.3">
      <c r="G14" s="10">
        <f>G13+1</f>
        <v>2025</v>
      </c>
      <c r="H14" s="10">
        <f t="shared" si="1"/>
        <v>1</v>
      </c>
      <c r="I14" s="19">
        <f t="shared" si="2"/>
        <v>0</v>
      </c>
      <c r="J14" s="24" t="e">
        <f t="shared" si="3"/>
        <v>#REF!</v>
      </c>
    </row>
    <row r="15" spans="1:10" x14ac:dyDescent="0.3">
      <c r="A15" s="13" t="s">
        <v>19</v>
      </c>
      <c r="G15" s="11">
        <f t="shared" si="0"/>
        <v>2026</v>
      </c>
      <c r="H15" s="11">
        <f t="shared" si="1"/>
        <v>1</v>
      </c>
      <c r="I15" s="19">
        <f t="shared" si="2"/>
        <v>0</v>
      </c>
      <c r="J15" s="31" t="e">
        <f t="shared" si="3"/>
        <v>#REF!</v>
      </c>
    </row>
    <row r="16" spans="1:10" x14ac:dyDescent="0.3">
      <c r="A16" s="14" t="s">
        <v>20</v>
      </c>
      <c r="B16" s="14" t="e">
        <f>'Assumed Values'!#REF!</f>
        <v>#REF!</v>
      </c>
      <c r="D16" s="13" t="s">
        <v>21</v>
      </c>
      <c r="E16" s="21" t="s">
        <v>2</v>
      </c>
      <c r="G16" s="10">
        <f t="shared" si="0"/>
        <v>2027</v>
      </c>
      <c r="H16" s="10">
        <f t="shared" si="1"/>
        <v>1</v>
      </c>
      <c r="I16" s="19">
        <f t="shared" si="2"/>
        <v>0</v>
      </c>
      <c r="J16" s="24" t="e">
        <f t="shared" si="3"/>
        <v>#REF!</v>
      </c>
    </row>
    <row r="17" spans="1:10" x14ac:dyDescent="0.3">
      <c r="A17" s="14" t="s">
        <v>22</v>
      </c>
      <c r="B17" s="15" t="e">
        <f>'Assumed Values'!#REF!</f>
        <v>#REF!</v>
      </c>
      <c r="D17" s="17" t="s">
        <v>23</v>
      </c>
      <c r="E17" s="18">
        <f>E7/E8</f>
        <v>0</v>
      </c>
      <c r="G17" s="11">
        <f t="shared" si="0"/>
        <v>2028</v>
      </c>
      <c r="H17" s="11">
        <f t="shared" si="1"/>
        <v>1</v>
      </c>
      <c r="I17" s="19">
        <f t="shared" si="2"/>
        <v>0</v>
      </c>
      <c r="J17" s="31" t="e">
        <f t="shared" si="3"/>
        <v>#REF!</v>
      </c>
    </row>
    <row r="18" spans="1:10" x14ac:dyDescent="0.3">
      <c r="A18" s="14" t="s">
        <v>24</v>
      </c>
      <c r="B18" s="14">
        <f>IF(B6=2,2.1, 1.1)</f>
        <v>1.1000000000000001</v>
      </c>
      <c r="G18" s="10">
        <f t="shared" si="0"/>
        <v>2029</v>
      </c>
      <c r="H18" s="10">
        <f t="shared" si="1"/>
        <v>1</v>
      </c>
      <c r="I18" s="19">
        <f t="shared" si="2"/>
        <v>0</v>
      </c>
      <c r="J18" s="24" t="e">
        <f t="shared" si="3"/>
        <v>#REF!</v>
      </c>
    </row>
    <row r="19" spans="1:10" x14ac:dyDescent="0.3">
      <c r="A19" s="14" t="s">
        <v>25</v>
      </c>
      <c r="B19" s="16" t="e">
        <f>'Assumed Values'!#REF!</f>
        <v>#REF!</v>
      </c>
      <c r="G19" s="11">
        <f t="shared" si="0"/>
        <v>2030</v>
      </c>
      <c r="H19" s="11">
        <f t="shared" si="1"/>
        <v>1</v>
      </c>
      <c r="I19" s="19">
        <f t="shared" si="2"/>
        <v>0</v>
      </c>
      <c r="J19" s="31" t="e">
        <f t="shared" si="3"/>
        <v>#REF!</v>
      </c>
    </row>
    <row r="20" spans="1:10" x14ac:dyDescent="0.3">
      <c r="A20" s="14" t="s">
        <v>26</v>
      </c>
      <c r="B20" s="14">
        <v>260</v>
      </c>
      <c r="G20" s="10">
        <f t="shared" si="0"/>
        <v>2031</v>
      </c>
      <c r="H20" s="10">
        <f t="shared" si="1"/>
        <v>1</v>
      </c>
      <c r="I20" s="19">
        <f t="shared" si="2"/>
        <v>0</v>
      </c>
      <c r="J20" s="24" t="e">
        <f t="shared" si="3"/>
        <v>#REF!</v>
      </c>
    </row>
    <row r="21" spans="1:10" x14ac:dyDescent="0.3">
      <c r="G21" s="11">
        <f t="shared" si="0"/>
        <v>2032</v>
      </c>
      <c r="H21" s="11">
        <f t="shared" si="1"/>
        <v>1</v>
      </c>
      <c r="I21" s="19">
        <f t="shared" si="2"/>
        <v>0</v>
      </c>
      <c r="J21" s="31" t="e">
        <f t="shared" si="3"/>
        <v>#REF!</v>
      </c>
    </row>
    <row r="22" spans="1:10" x14ac:dyDescent="0.3">
      <c r="G22" s="10">
        <f t="shared" si="0"/>
        <v>2033</v>
      </c>
      <c r="H22" s="10">
        <f t="shared" si="1"/>
        <v>1</v>
      </c>
      <c r="I22" s="19">
        <f t="shared" si="2"/>
        <v>0</v>
      </c>
      <c r="J22" s="24" t="e">
        <f t="shared" si="3"/>
        <v>#REF!</v>
      </c>
    </row>
    <row r="23" spans="1:10" x14ac:dyDescent="0.3">
      <c r="G23" s="11">
        <f t="shared" si="0"/>
        <v>2034</v>
      </c>
      <c r="H23" s="11">
        <f t="shared" si="1"/>
        <v>1</v>
      </c>
      <c r="I23" s="19">
        <f t="shared" si="2"/>
        <v>0</v>
      </c>
      <c r="J23" s="31" t="e">
        <f t="shared" si="3"/>
        <v>#REF!</v>
      </c>
    </row>
    <row r="24" spans="1:10" x14ac:dyDescent="0.3">
      <c r="G24" s="10">
        <f t="shared" si="0"/>
        <v>2035</v>
      </c>
      <c r="H24" s="10">
        <f t="shared" si="1"/>
        <v>1</v>
      </c>
      <c r="I24" s="19">
        <f t="shared" si="2"/>
        <v>0</v>
      </c>
      <c r="J24" s="24" t="e">
        <f t="shared" si="3"/>
        <v>#REF!</v>
      </c>
    </row>
    <row r="25" spans="1:10" x14ac:dyDescent="0.3">
      <c r="G25" s="11">
        <f t="shared" si="0"/>
        <v>2036</v>
      </c>
      <c r="H25" s="11">
        <f t="shared" si="1"/>
        <v>1</v>
      </c>
      <c r="I25" s="19">
        <f t="shared" si="2"/>
        <v>0</v>
      </c>
      <c r="J25" s="31" t="e">
        <f t="shared" ref="J25:J29" si="4">I25*$B$18*$B$19/10^3</f>
        <v>#REF!</v>
      </c>
    </row>
    <row r="26" spans="1:10" x14ac:dyDescent="0.3">
      <c r="G26" s="10">
        <f t="shared" si="0"/>
        <v>2037</v>
      </c>
      <c r="H26" s="10">
        <f t="shared" si="1"/>
        <v>1</v>
      </c>
      <c r="I26" s="19">
        <f t="shared" si="2"/>
        <v>0</v>
      </c>
      <c r="J26" s="24" t="e">
        <f t="shared" si="4"/>
        <v>#REF!</v>
      </c>
    </row>
    <row r="27" spans="1:10" x14ac:dyDescent="0.3">
      <c r="G27" s="11">
        <f t="shared" si="0"/>
        <v>2038</v>
      </c>
      <c r="H27" s="11">
        <f t="shared" si="1"/>
        <v>1</v>
      </c>
      <c r="I27" s="19">
        <f t="shared" si="2"/>
        <v>0</v>
      </c>
      <c r="J27" s="31" t="e">
        <f t="shared" si="4"/>
        <v>#REF!</v>
      </c>
    </row>
    <row r="28" spans="1:10" x14ac:dyDescent="0.3">
      <c r="G28" s="10">
        <f t="shared" si="0"/>
        <v>2039</v>
      </c>
      <c r="H28" s="10">
        <f t="shared" si="1"/>
        <v>1</v>
      </c>
      <c r="I28" s="19">
        <f t="shared" si="2"/>
        <v>0</v>
      </c>
      <c r="J28" s="24" t="e">
        <f t="shared" si="4"/>
        <v>#REF!</v>
      </c>
    </row>
    <row r="29" spans="1:10" x14ac:dyDescent="0.3">
      <c r="A29" s="22"/>
      <c r="G29" s="11">
        <f t="shared" si="0"/>
        <v>2040</v>
      </c>
      <c r="H29" s="11">
        <f t="shared" si="1"/>
        <v>1</v>
      </c>
      <c r="I29" s="19">
        <f t="shared" si="2"/>
        <v>0</v>
      </c>
      <c r="J29" s="31" t="e">
        <f t="shared" si="4"/>
        <v>#REF!</v>
      </c>
    </row>
    <row r="51" spans="1:1" x14ac:dyDescent="0.3">
      <c r="A51" t="s">
        <v>27</v>
      </c>
    </row>
    <row r="52" spans="1:1" x14ac:dyDescent="0.3">
      <c r="A52" t="s">
        <v>28</v>
      </c>
    </row>
    <row r="53" spans="1:1" x14ac:dyDescent="0.3">
      <c r="A53" t="s">
        <v>29</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5" t="s">
        <v>0</v>
      </c>
      <c r="D3" s="5" t="s">
        <v>30</v>
      </c>
      <c r="E3" s="6" t="s">
        <v>2</v>
      </c>
      <c r="G3" s="12" t="s">
        <v>3</v>
      </c>
      <c r="H3" s="12" t="s">
        <v>31</v>
      </c>
      <c r="I3" s="12" t="s">
        <v>32</v>
      </c>
      <c r="J3" s="12" t="s">
        <v>33</v>
      </c>
      <c r="K3" s="12" t="s">
        <v>34</v>
      </c>
    </row>
    <row r="4" spans="1:11" x14ac:dyDescent="0.3">
      <c r="A4" s="3" t="s">
        <v>6</v>
      </c>
      <c r="B4" s="4"/>
      <c r="D4" s="3" t="s">
        <v>7</v>
      </c>
      <c r="E4" s="4">
        <v>2015</v>
      </c>
      <c r="G4" s="10">
        <f>E4</f>
        <v>2015</v>
      </c>
      <c r="H4" s="27" t="e">
        <f t="shared" ref="H4:H24" si="0">IF($G4&lt;($G$4+$E$5),$E$17,0)</f>
        <v>#REF!</v>
      </c>
      <c r="I4" s="26" t="e">
        <f>H4*$B$20/10^3</f>
        <v>#REF!</v>
      </c>
      <c r="J4" s="27" t="e">
        <f t="shared" ref="J4:J24" si="1">IF($G4&lt;($G$4+$E$5),$E$18,0)</f>
        <v>#REF!</v>
      </c>
      <c r="K4" s="26" t="e">
        <f>J4*$B$21/10^3</f>
        <v>#REF!</v>
      </c>
    </row>
    <row r="5" spans="1:11" x14ac:dyDescent="0.3">
      <c r="A5" s="3" t="s">
        <v>8</v>
      </c>
      <c r="B5" s="4"/>
      <c r="D5" s="3" t="s">
        <v>9</v>
      </c>
      <c r="E5" s="7">
        <v>10</v>
      </c>
      <c r="G5" s="11">
        <f t="shared" ref="G5:G29" si="2">G4+1</f>
        <v>2016</v>
      </c>
      <c r="H5" s="27" t="e">
        <f t="shared" si="0"/>
        <v>#REF!</v>
      </c>
      <c r="I5" s="28" t="e">
        <f t="shared" ref="I5:I24" si="3">H5*$B$20/10^3</f>
        <v>#REF!</v>
      </c>
      <c r="J5" s="27" t="e">
        <f t="shared" si="1"/>
        <v>#REF!</v>
      </c>
      <c r="K5" s="28" t="e">
        <f t="shared" ref="K5:K24" si="4">J5*$B$21/10^3</f>
        <v>#REF!</v>
      </c>
    </row>
    <row r="6" spans="1:11" x14ac:dyDescent="0.3">
      <c r="A6" s="3" t="s">
        <v>35</v>
      </c>
      <c r="B6" s="4">
        <v>2</v>
      </c>
      <c r="D6" s="127" t="s">
        <v>11</v>
      </c>
      <c r="E6" s="128"/>
      <c r="G6" s="10">
        <f t="shared" si="2"/>
        <v>2017</v>
      </c>
      <c r="H6" s="27" t="e">
        <f t="shared" si="0"/>
        <v>#REF!</v>
      </c>
      <c r="I6" s="26" t="e">
        <f t="shared" si="3"/>
        <v>#REF!</v>
      </c>
      <c r="J6" s="27" t="e">
        <f t="shared" si="1"/>
        <v>#REF!</v>
      </c>
      <c r="K6" s="26" t="e">
        <f t="shared" si="4"/>
        <v>#REF!</v>
      </c>
    </row>
    <row r="7" spans="1:11" x14ac:dyDescent="0.3">
      <c r="A7" s="3" t="s">
        <v>12</v>
      </c>
      <c r="B7" s="20"/>
      <c r="D7" s="3" t="s">
        <v>36</v>
      </c>
      <c r="E7" s="7"/>
      <c r="G7" s="11">
        <f t="shared" si="2"/>
        <v>2018</v>
      </c>
      <c r="H7" s="27" t="e">
        <f t="shared" si="0"/>
        <v>#REF!</v>
      </c>
      <c r="I7" s="28" t="e">
        <f t="shared" si="3"/>
        <v>#REF!</v>
      </c>
      <c r="J7" s="27" t="e">
        <f t="shared" si="1"/>
        <v>#REF!</v>
      </c>
      <c r="K7" s="28" t="e">
        <f t="shared" si="4"/>
        <v>#REF!</v>
      </c>
    </row>
    <row r="8" spans="1:11" x14ac:dyDescent="0.3">
      <c r="A8" s="3" t="s">
        <v>14</v>
      </c>
      <c r="B8" s="20"/>
      <c r="D8" s="127" t="s">
        <v>37</v>
      </c>
      <c r="E8" s="128"/>
      <c r="G8" s="10">
        <f t="shared" si="2"/>
        <v>2019</v>
      </c>
      <c r="H8" s="27" t="e">
        <f t="shared" si="0"/>
        <v>#REF!</v>
      </c>
      <c r="I8" s="26" t="e">
        <f t="shared" si="3"/>
        <v>#REF!</v>
      </c>
      <c r="J8" s="27" t="e">
        <f t="shared" si="1"/>
        <v>#REF!</v>
      </c>
      <c r="K8" s="26" t="e">
        <f t="shared" si="4"/>
        <v>#REF!</v>
      </c>
    </row>
    <row r="9" spans="1:11" x14ac:dyDescent="0.3">
      <c r="D9" s="3" t="s">
        <v>38</v>
      </c>
      <c r="E9" s="7"/>
      <c r="G9" s="11">
        <f t="shared" si="2"/>
        <v>2020</v>
      </c>
      <c r="H9" s="27" t="e">
        <f t="shared" si="0"/>
        <v>#REF!</v>
      </c>
      <c r="I9" s="28" t="e">
        <f t="shared" si="3"/>
        <v>#REF!</v>
      </c>
      <c r="J9" s="27" t="e">
        <f t="shared" si="1"/>
        <v>#REF!</v>
      </c>
      <c r="K9" s="28" t="e">
        <f t="shared" si="4"/>
        <v>#REF!</v>
      </c>
    </row>
    <row r="10" spans="1:11" x14ac:dyDescent="0.3">
      <c r="A10" s="9" t="s">
        <v>16</v>
      </c>
      <c r="D10" s="3" t="s">
        <v>39</v>
      </c>
      <c r="E10" s="7"/>
      <c r="G10" s="10">
        <f t="shared" si="2"/>
        <v>2021</v>
      </c>
      <c r="H10" s="27" t="e">
        <f t="shared" si="0"/>
        <v>#REF!</v>
      </c>
      <c r="I10" s="26" t="e">
        <f t="shared" si="3"/>
        <v>#REF!</v>
      </c>
      <c r="J10" s="27" t="e">
        <f t="shared" si="1"/>
        <v>#REF!</v>
      </c>
      <c r="K10" s="26" t="e">
        <f t="shared" si="4"/>
        <v>#REF!</v>
      </c>
    </row>
    <row r="11" spans="1:11" x14ac:dyDescent="0.3">
      <c r="A11" s="8" t="s">
        <v>40</v>
      </c>
      <c r="B11" s="29" t="e">
        <f>(NPV($B$17,K4:K24)+NPV($B$17,I4:I24))/(1+$B$17)^2</f>
        <v>#REF!</v>
      </c>
      <c r="G11" s="11">
        <f t="shared" si="2"/>
        <v>2022</v>
      </c>
      <c r="H11" s="27" t="e">
        <f t="shared" si="0"/>
        <v>#REF!</v>
      </c>
      <c r="I11" s="28" t="e">
        <f t="shared" si="3"/>
        <v>#REF!</v>
      </c>
      <c r="J11" s="27" t="e">
        <f t="shared" si="1"/>
        <v>#REF!</v>
      </c>
      <c r="K11" s="28" t="e">
        <f t="shared" si="4"/>
        <v>#REF!</v>
      </c>
    </row>
    <row r="12" spans="1:11" x14ac:dyDescent="0.3">
      <c r="A12" s="8" t="s">
        <v>18</v>
      </c>
      <c r="B12" s="30" t="e">
        <f>B11/B7</f>
        <v>#REF!</v>
      </c>
      <c r="G12" s="10">
        <f t="shared" si="2"/>
        <v>2023</v>
      </c>
      <c r="H12" s="27" t="e">
        <f t="shared" si="0"/>
        <v>#REF!</v>
      </c>
      <c r="I12" s="26" t="e">
        <f t="shared" si="3"/>
        <v>#REF!</v>
      </c>
      <c r="J12" s="27" t="e">
        <f t="shared" si="1"/>
        <v>#REF!</v>
      </c>
      <c r="K12" s="26" t="e">
        <f t="shared" si="4"/>
        <v>#REF!</v>
      </c>
    </row>
    <row r="13" spans="1:11" x14ac:dyDescent="0.3">
      <c r="A13" s="8" t="s">
        <v>41</v>
      </c>
      <c r="B13" s="29" t="e">
        <f>B7*(B17/(1-(1+B17)^(-E5))/(SUM(H4:H29)+SUM(J4:J29)))</f>
        <v>#REF!</v>
      </c>
      <c r="G13" s="11">
        <f t="shared" si="2"/>
        <v>2024</v>
      </c>
      <c r="H13" s="27" t="e">
        <f t="shared" si="0"/>
        <v>#REF!</v>
      </c>
      <c r="I13" s="28" t="e">
        <f t="shared" si="3"/>
        <v>#REF!</v>
      </c>
      <c r="J13" s="27" t="e">
        <f t="shared" si="1"/>
        <v>#REF!</v>
      </c>
      <c r="K13" s="28" t="e">
        <f t="shared" si="4"/>
        <v>#REF!</v>
      </c>
    </row>
    <row r="14" spans="1:11" x14ac:dyDescent="0.3">
      <c r="G14" s="10">
        <f>G13+1</f>
        <v>2025</v>
      </c>
      <c r="H14" s="27">
        <f t="shared" si="0"/>
        <v>0</v>
      </c>
      <c r="I14" s="26" t="e">
        <f t="shared" si="3"/>
        <v>#REF!</v>
      </c>
      <c r="J14" s="27">
        <f t="shared" si="1"/>
        <v>0</v>
      </c>
      <c r="K14" s="26" t="e">
        <f t="shared" si="4"/>
        <v>#REF!</v>
      </c>
    </row>
    <row r="15" spans="1:11" x14ac:dyDescent="0.3">
      <c r="A15" s="13" t="s">
        <v>19</v>
      </c>
      <c r="G15" s="11">
        <f t="shared" si="2"/>
        <v>2026</v>
      </c>
      <c r="H15" s="27">
        <f t="shared" si="0"/>
        <v>0</v>
      </c>
      <c r="I15" s="28" t="e">
        <f t="shared" si="3"/>
        <v>#REF!</v>
      </c>
      <c r="J15" s="27">
        <f t="shared" si="1"/>
        <v>0</v>
      </c>
      <c r="K15" s="28" t="e">
        <f t="shared" si="4"/>
        <v>#REF!</v>
      </c>
    </row>
    <row r="16" spans="1:11" x14ac:dyDescent="0.3">
      <c r="A16" s="14" t="s">
        <v>20</v>
      </c>
      <c r="B16" s="14">
        <v>2015</v>
      </c>
      <c r="D16" s="13" t="s">
        <v>21</v>
      </c>
      <c r="E16" s="21" t="s">
        <v>2</v>
      </c>
      <c r="G16" s="10">
        <f t="shared" si="2"/>
        <v>2027</v>
      </c>
      <c r="H16" s="27">
        <f t="shared" si="0"/>
        <v>0</v>
      </c>
      <c r="I16" s="26" t="e">
        <f t="shared" si="3"/>
        <v>#REF!</v>
      </c>
      <c r="J16" s="27">
        <f t="shared" si="1"/>
        <v>0</v>
      </c>
      <c r="K16" s="26" t="e">
        <f t="shared" si="4"/>
        <v>#REF!</v>
      </c>
    </row>
    <row r="17" spans="1:11" x14ac:dyDescent="0.3">
      <c r="A17" s="14" t="s">
        <v>22</v>
      </c>
      <c r="B17" s="15">
        <v>7.0000000000000007E-2</v>
      </c>
      <c r="D17" s="17" t="s">
        <v>38</v>
      </c>
      <c r="E17" s="23" t="e">
        <f>IF(E9,E9,$E$7*B18*$B$22/10^6)</f>
        <v>#REF!</v>
      </c>
      <c r="G17" s="11">
        <f t="shared" si="2"/>
        <v>2028</v>
      </c>
      <c r="H17" s="27">
        <f t="shared" si="0"/>
        <v>0</v>
      </c>
      <c r="I17" s="28" t="e">
        <f t="shared" si="3"/>
        <v>#REF!</v>
      </c>
      <c r="J17" s="27">
        <f t="shared" si="1"/>
        <v>0</v>
      </c>
      <c r="K17" s="28" t="e">
        <f t="shared" si="4"/>
        <v>#REF!</v>
      </c>
    </row>
    <row r="18" spans="1:11" x14ac:dyDescent="0.3">
      <c r="A18" s="14" t="s">
        <v>42</v>
      </c>
      <c r="B18" s="33" t="e">
        <f>IF($B$6=2,'Assumed Values'!#REF!,0)</f>
        <v>#REF!</v>
      </c>
      <c r="D18" s="17" t="s">
        <v>39</v>
      </c>
      <c r="E18" s="23" t="e">
        <f>IF(E10,E10,$E$7*B19*$B$22/10^6)</f>
        <v>#REF!</v>
      </c>
      <c r="G18" s="10">
        <f t="shared" si="2"/>
        <v>2029</v>
      </c>
      <c r="H18" s="27">
        <f t="shared" si="0"/>
        <v>0</v>
      </c>
      <c r="I18" s="26" t="e">
        <f t="shared" si="3"/>
        <v>#REF!</v>
      </c>
      <c r="J18" s="27">
        <f t="shared" si="1"/>
        <v>0</v>
      </c>
      <c r="K18" s="26" t="e">
        <f t="shared" si="4"/>
        <v>#REF!</v>
      </c>
    </row>
    <row r="19" spans="1:11" x14ac:dyDescent="0.3">
      <c r="A19" s="14" t="s">
        <v>43</v>
      </c>
      <c r="B19" s="33" t="e">
        <f>IF($B$6=2,'Assumed Values'!#REF!,0)</f>
        <v>#REF!</v>
      </c>
      <c r="G19" s="11">
        <f t="shared" si="2"/>
        <v>2030</v>
      </c>
      <c r="H19" s="27">
        <f t="shared" si="0"/>
        <v>0</v>
      </c>
      <c r="I19" s="28" t="e">
        <f t="shared" si="3"/>
        <v>#REF!</v>
      </c>
      <c r="J19" s="27">
        <f t="shared" si="1"/>
        <v>0</v>
      </c>
      <c r="K19" s="28" t="e">
        <f t="shared" si="4"/>
        <v>#REF!</v>
      </c>
    </row>
    <row r="20" spans="1:11" x14ac:dyDescent="0.3">
      <c r="A20" s="14" t="s">
        <v>44</v>
      </c>
      <c r="B20" s="25" t="e">
        <f>'Assumed Values'!#REF!</f>
        <v>#REF!</v>
      </c>
      <c r="G20" s="10">
        <f t="shared" si="2"/>
        <v>2031</v>
      </c>
      <c r="H20" s="27">
        <f t="shared" si="0"/>
        <v>0</v>
      </c>
      <c r="I20" s="26" t="e">
        <f t="shared" si="3"/>
        <v>#REF!</v>
      </c>
      <c r="J20" s="27">
        <f t="shared" si="1"/>
        <v>0</v>
      </c>
      <c r="K20" s="26" t="e">
        <f t="shared" si="4"/>
        <v>#REF!</v>
      </c>
    </row>
    <row r="21" spans="1:11" x14ac:dyDescent="0.3">
      <c r="A21" s="14" t="s">
        <v>45</v>
      </c>
      <c r="B21" s="25" t="e">
        <f>'Assumed Values'!#REF!</f>
        <v>#REF!</v>
      </c>
      <c r="G21" s="11">
        <f t="shared" si="2"/>
        <v>2032</v>
      </c>
      <c r="H21" s="27">
        <f t="shared" si="0"/>
        <v>0</v>
      </c>
      <c r="I21" s="28" t="e">
        <f t="shared" si="3"/>
        <v>#REF!</v>
      </c>
      <c r="J21" s="27">
        <f t="shared" si="1"/>
        <v>0</v>
      </c>
      <c r="K21" s="28" t="e">
        <f t="shared" si="4"/>
        <v>#REF!</v>
      </c>
    </row>
    <row r="22" spans="1:11" x14ac:dyDescent="0.3">
      <c r="A22" s="14" t="s">
        <v>26</v>
      </c>
      <c r="B22" s="14">
        <v>260</v>
      </c>
      <c r="G22" s="10">
        <f t="shared" si="2"/>
        <v>2033</v>
      </c>
      <c r="H22" s="27">
        <f t="shared" si="0"/>
        <v>0</v>
      </c>
      <c r="I22" s="26" t="e">
        <f t="shared" si="3"/>
        <v>#REF!</v>
      </c>
      <c r="J22" s="27">
        <f t="shared" si="1"/>
        <v>0</v>
      </c>
      <c r="K22" s="26" t="e">
        <f t="shared" si="4"/>
        <v>#REF!</v>
      </c>
    </row>
    <row r="23" spans="1:11" x14ac:dyDescent="0.3">
      <c r="G23" s="11">
        <f t="shared" si="2"/>
        <v>2034</v>
      </c>
      <c r="H23" s="27">
        <f t="shared" si="0"/>
        <v>0</v>
      </c>
      <c r="I23" s="28" t="e">
        <f t="shared" si="3"/>
        <v>#REF!</v>
      </c>
      <c r="J23" s="27">
        <f t="shared" si="1"/>
        <v>0</v>
      </c>
      <c r="K23" s="28" t="e">
        <f t="shared" si="4"/>
        <v>#REF!</v>
      </c>
    </row>
    <row r="24" spans="1:11" x14ac:dyDescent="0.3">
      <c r="G24" s="10">
        <f t="shared" si="2"/>
        <v>2035</v>
      </c>
      <c r="H24" s="27">
        <f t="shared" si="0"/>
        <v>0</v>
      </c>
      <c r="I24" s="26" t="e">
        <f t="shared" si="3"/>
        <v>#REF!</v>
      </c>
      <c r="J24" s="27">
        <f t="shared" si="1"/>
        <v>0</v>
      </c>
      <c r="K24" s="26" t="e">
        <f t="shared" si="4"/>
        <v>#REF!</v>
      </c>
    </row>
    <row r="25" spans="1:11" x14ac:dyDescent="0.3">
      <c r="G25" s="11">
        <f t="shared" si="2"/>
        <v>2036</v>
      </c>
      <c r="H25" s="27">
        <f t="shared" ref="H25:H28" si="5">IF($G25&lt;($G$4+$E$5),$E$17,0)</f>
        <v>0</v>
      </c>
      <c r="I25" s="28" t="e">
        <f t="shared" ref="I25:I29" si="6">H25*$B$20/10^3</f>
        <v>#REF!</v>
      </c>
      <c r="J25" s="27">
        <f t="shared" ref="J25:J28" si="7">IF($G25&lt;($G$4+$E$5),$E$18,0)</f>
        <v>0</v>
      </c>
      <c r="K25" s="28" t="e">
        <f t="shared" ref="K25:K29" si="8">J25*$B$21/10^3</f>
        <v>#REF!</v>
      </c>
    </row>
    <row r="26" spans="1:11" x14ac:dyDescent="0.3">
      <c r="G26" s="10">
        <f t="shared" si="2"/>
        <v>2037</v>
      </c>
      <c r="H26" s="27">
        <f t="shared" si="5"/>
        <v>0</v>
      </c>
      <c r="I26" s="26" t="e">
        <f t="shared" si="6"/>
        <v>#REF!</v>
      </c>
      <c r="J26" s="27">
        <f t="shared" si="7"/>
        <v>0</v>
      </c>
      <c r="K26" s="26" t="e">
        <f t="shared" si="8"/>
        <v>#REF!</v>
      </c>
    </row>
    <row r="27" spans="1:11" x14ac:dyDescent="0.3">
      <c r="G27" s="11">
        <f t="shared" si="2"/>
        <v>2038</v>
      </c>
      <c r="H27" s="27">
        <f t="shared" si="5"/>
        <v>0</v>
      </c>
      <c r="I27" s="28" t="e">
        <f t="shared" si="6"/>
        <v>#REF!</v>
      </c>
      <c r="J27" s="27">
        <f t="shared" si="7"/>
        <v>0</v>
      </c>
      <c r="K27" s="28" t="e">
        <f t="shared" si="8"/>
        <v>#REF!</v>
      </c>
    </row>
    <row r="28" spans="1:11" x14ac:dyDescent="0.3">
      <c r="G28" s="10">
        <f t="shared" si="2"/>
        <v>2039</v>
      </c>
      <c r="H28" s="27">
        <f t="shared" si="5"/>
        <v>0</v>
      </c>
      <c r="I28" s="26" t="e">
        <f t="shared" si="6"/>
        <v>#REF!</v>
      </c>
      <c r="J28" s="27">
        <f t="shared" si="7"/>
        <v>0</v>
      </c>
      <c r="K28" s="26" t="e">
        <f t="shared" si="8"/>
        <v>#REF!</v>
      </c>
    </row>
    <row r="29" spans="1:11" x14ac:dyDescent="0.3">
      <c r="G29" s="11">
        <f t="shared" si="2"/>
        <v>2040</v>
      </c>
      <c r="H29" s="27">
        <f>IF($G29&lt;($G$4+$E$5),$E$17,0)</f>
        <v>0</v>
      </c>
      <c r="I29" s="28" t="e">
        <f t="shared" si="6"/>
        <v>#REF!</v>
      </c>
      <c r="J29" s="27">
        <f>IF($G29&lt;($G$4+$E$5),$E$18,0)</f>
        <v>0</v>
      </c>
      <c r="K29" s="28" t="e">
        <f t="shared" si="8"/>
        <v>#REF!</v>
      </c>
    </row>
    <row r="31" spans="1:11" x14ac:dyDescent="0.3">
      <c r="A31" s="22"/>
    </row>
    <row r="53" spans="1:1" x14ac:dyDescent="0.3">
      <c r="A53" t="s">
        <v>27</v>
      </c>
    </row>
    <row r="54" spans="1:1" x14ac:dyDescent="0.3">
      <c r="A54" t="s">
        <v>28</v>
      </c>
    </row>
    <row r="55" spans="1:1" x14ac:dyDescent="0.3">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2:J36"/>
  <sheetViews>
    <sheetView topLeftCell="A14" zoomScaleNormal="100" workbookViewId="0">
      <selection activeCell="C35" sqref="C35"/>
    </sheetView>
  </sheetViews>
  <sheetFormatPr defaultColWidth="9.109375" defaultRowHeight="14.4" x14ac:dyDescent="0.3"/>
  <cols>
    <col min="1" max="1" width="9.109375" style="36"/>
    <col min="2" max="2" width="57" style="36" customWidth="1"/>
    <col min="3" max="3" width="16" style="62" customWidth="1"/>
    <col min="4" max="4" width="5.33203125" style="36" customWidth="1"/>
    <col min="5" max="5" width="5.6640625" style="36" customWidth="1"/>
    <col min="6" max="16384" width="9.109375" style="36"/>
  </cols>
  <sheetData>
    <row r="2" spans="2:6" ht="18" x14ac:dyDescent="0.3">
      <c r="B2" s="50" t="s">
        <v>46</v>
      </c>
      <c r="C2" s="61"/>
      <c r="D2" s="51"/>
    </row>
    <row r="4" spans="2:6" ht="30" customHeight="1" x14ac:dyDescent="0.3">
      <c r="B4" s="52" t="s">
        <v>0</v>
      </c>
    </row>
    <row r="5" spans="2:6" x14ac:dyDescent="0.3">
      <c r="B5" s="53" t="s">
        <v>47</v>
      </c>
      <c r="C5" s="48"/>
      <c r="E5" s="53"/>
      <c r="F5" s="36" t="s">
        <v>48</v>
      </c>
    </row>
    <row r="6" spans="2:6" x14ac:dyDescent="0.3">
      <c r="B6" s="53" t="s">
        <v>49</v>
      </c>
      <c r="C6" s="63"/>
      <c r="E6" s="49"/>
      <c r="F6" s="36" t="s">
        <v>50</v>
      </c>
    </row>
    <row r="7" spans="2:6" x14ac:dyDescent="0.3">
      <c r="B7" s="53" t="s">
        <v>51</v>
      </c>
      <c r="C7" s="63"/>
      <c r="E7" s="54"/>
      <c r="F7" s="36" t="s">
        <v>52</v>
      </c>
    </row>
    <row r="8" spans="2:6" x14ac:dyDescent="0.3">
      <c r="B8" s="53" t="s">
        <v>53</v>
      </c>
      <c r="C8" s="63" t="s">
        <v>54</v>
      </c>
    </row>
    <row r="11" spans="2:6" x14ac:dyDescent="0.3">
      <c r="B11" s="52" t="s">
        <v>55</v>
      </c>
    </row>
    <row r="12" spans="2:6" x14ac:dyDescent="0.3">
      <c r="B12" s="53" t="s">
        <v>56</v>
      </c>
      <c r="C12" s="63">
        <v>2026</v>
      </c>
    </row>
    <row r="13" spans="2:6" x14ac:dyDescent="0.3">
      <c r="B13" s="53" t="s">
        <v>57</v>
      </c>
      <c r="C13" s="63" t="s">
        <v>58</v>
      </c>
    </row>
    <row r="14" spans="2:6" x14ac:dyDescent="0.3">
      <c r="B14" s="55" t="s">
        <v>59</v>
      </c>
      <c r="C14" s="64" t="s">
        <v>60</v>
      </c>
    </row>
    <row r="15" spans="2:6" x14ac:dyDescent="0.3">
      <c r="B15" s="55" t="s">
        <v>61</v>
      </c>
      <c r="C15" s="116">
        <v>1.5</v>
      </c>
    </row>
    <row r="16" spans="2:6" x14ac:dyDescent="0.3">
      <c r="B16" s="55" t="s">
        <v>62</v>
      </c>
      <c r="C16" s="64">
        <v>28</v>
      </c>
    </row>
    <row r="17" spans="2:3" x14ac:dyDescent="0.3">
      <c r="B17" s="56" t="s">
        <v>63</v>
      </c>
      <c r="C17" s="64">
        <v>40</v>
      </c>
    </row>
    <row r="18" spans="2:3" x14ac:dyDescent="0.3">
      <c r="B18" s="57" t="s">
        <v>64</v>
      </c>
      <c r="C18" s="69">
        <f>VLOOKUP(C13,'Service Life'!C6:D12,2,FALSE)</f>
        <v>20</v>
      </c>
    </row>
    <row r="20" spans="2:3" x14ac:dyDescent="0.3">
      <c r="B20" s="52" t="s">
        <v>65</v>
      </c>
    </row>
    <row r="21" spans="2:3" x14ac:dyDescent="0.3">
      <c r="B21" s="56" t="s">
        <v>134</v>
      </c>
      <c r="C21" s="64">
        <v>10447</v>
      </c>
    </row>
    <row r="22" spans="2:3" ht="20.25" customHeight="1" x14ac:dyDescent="0.3">
      <c r="B22" s="60"/>
      <c r="C22" s="65"/>
    </row>
    <row r="25" spans="2:3" ht="18" x14ac:dyDescent="0.3">
      <c r="B25" s="50" t="s">
        <v>66</v>
      </c>
      <c r="C25" s="61"/>
    </row>
    <row r="27" spans="2:3" x14ac:dyDescent="0.3">
      <c r="B27" s="59" t="s">
        <v>67</v>
      </c>
    </row>
    <row r="28" spans="2:3" x14ac:dyDescent="0.3">
      <c r="B28" s="54" t="s">
        <v>68</v>
      </c>
      <c r="C28" s="67">
        <f>'Benefit Calculations'!M35</f>
        <v>5038.8205335546754</v>
      </c>
    </row>
    <row r="29" spans="2:3" x14ac:dyDescent="0.3">
      <c r="B29" s="54" t="s">
        <v>69</v>
      </c>
      <c r="C29" s="67">
        <f>'Benefit Calculations'!Q35</f>
        <v>884678.22863730066</v>
      </c>
    </row>
    <row r="30" spans="2:3" x14ac:dyDescent="0.3">
      <c r="C30" s="66"/>
    </row>
    <row r="31" spans="2:3" x14ac:dyDescent="0.3">
      <c r="B31" s="59" t="s">
        <v>70</v>
      </c>
      <c r="C31" s="66"/>
    </row>
    <row r="32" spans="2:3" x14ac:dyDescent="0.3">
      <c r="B32" s="54" t="s">
        <v>71</v>
      </c>
      <c r="C32" s="67">
        <f>$C$28+$C$29</f>
        <v>889717.04917085532</v>
      </c>
    </row>
    <row r="33" spans="2:10" x14ac:dyDescent="0.3">
      <c r="J33" s="58"/>
    </row>
    <row r="34" spans="2:10" x14ac:dyDescent="0.3">
      <c r="B34" s="59" t="s">
        <v>72</v>
      </c>
    </row>
    <row r="35" spans="2:10" x14ac:dyDescent="0.3">
      <c r="B35" s="54" t="s">
        <v>73</v>
      </c>
      <c r="C35" s="68">
        <f>'Benefit Calculations'!K35</f>
        <v>0.34138338448846861</v>
      </c>
    </row>
    <row r="36" spans="2:10" x14ac:dyDescent="0.3">
      <c r="B36" s="54" t="s">
        <v>74</v>
      </c>
      <c r="C36" s="68">
        <f>'Benefit Calculations'!O35</f>
        <v>1.2345643175884775</v>
      </c>
    </row>
  </sheetData>
  <sheetProtection algorithmName="SHA-512" hashValue="R+/aeLpO+OT3MuHxgxWiNjiQ+5PazIY9BO8+cwKLj1ojAqal/UfkmltEZvXtO7+gLVj5exqr73eI5TUuho8rXQ==" saltValue="QHrla6rA8fhDHZ0l2FD54w==" spinCount="100000" sheet="1" objects="1" scenarios="1"/>
  <dataValidations count="1">
    <dataValidation operator="lessThanOrEqual" allowBlank="1" showInputMessage="1" showErrorMessage="1" error="Volume Must Be Less Than Stated Capacity" sqref="C15" xr:uid="{00000000-0002-0000-0300-000000000000}"/>
  </dataValidations>
  <pageMargins left="0.25" right="0.25" top="0.75" bottom="0.75" header="0.3" footer="0.3"/>
  <pageSetup scale="7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'Emission Factors - VOC'!$C$2:$J$2</xm:f>
          </x14:formula1>
          <xm:sqref>C8</xm:sqref>
        </x14:dataValidation>
        <x14:dataValidation type="list" operator="lessThanOrEqual" allowBlank="1" showInputMessage="1" showErrorMessage="1" error="Volume Must Be Less Than Stated Capacity" xr:uid="{00000000-0002-0000-0300-000002000000}">
          <x14:formula1>
            <xm:f>'Emission Factors - NOx'!$L$4:$L$6</xm:f>
          </x14:formula1>
          <xm:sqref>C14</xm:sqref>
        </x14:dataValidation>
        <x14:dataValidation type="list" allowBlank="1" showInputMessage="1" showErrorMessage="1" xr:uid="{0DB03380-D99F-455B-A42A-E1AC5867B5FB}">
          <x14:formula1>
            <xm:f>'Service Life'!$C$6:$C$12</xm:f>
          </x14:formula1>
          <xm:sqref>C13</xm:sqref>
        </x14:dataValidation>
        <x14:dataValidation type="list" allowBlank="1" showInputMessage="1" showErrorMessage="1" xr:uid="{D04F2536-4FA7-4F2C-AEB3-E35482110314}">
          <x14:formula1>
            <xm:f>'Benefit Calculations'!$F$4:$F$34</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1:U40"/>
  <sheetViews>
    <sheetView topLeftCell="A14" zoomScaleNormal="100" workbookViewId="0">
      <selection activeCell="D40" sqref="D40"/>
    </sheetView>
  </sheetViews>
  <sheetFormatPr defaultColWidth="8.88671875" defaultRowHeight="14.4" x14ac:dyDescent="0.3"/>
  <cols>
    <col min="1" max="1" width="5.6640625" style="70" customWidth="1"/>
    <col min="2" max="2" width="29" style="70" customWidth="1"/>
    <col min="3" max="3" width="15" style="70" customWidth="1"/>
    <col min="4" max="4" width="15.6640625" style="70" customWidth="1"/>
    <col min="5" max="5" width="3.33203125" style="70" customWidth="1"/>
    <col min="6" max="6" width="7.88671875" style="71" customWidth="1"/>
    <col min="7" max="7" width="12.33203125" style="71" customWidth="1"/>
    <col min="8" max="8" width="11.109375" style="71" customWidth="1"/>
    <col min="9" max="9" width="7.5546875" style="71" customWidth="1"/>
    <col min="10" max="10" width="8.109375" style="70" customWidth="1"/>
    <col min="11" max="11" width="9.109375" style="70" customWidth="1"/>
    <col min="12" max="12" width="12.33203125" style="72" customWidth="1"/>
    <col min="13" max="13" width="10.44140625" style="72" customWidth="1"/>
    <col min="14" max="14" width="8.88671875" style="70" customWidth="1"/>
    <col min="15" max="15" width="8.6640625" style="70" customWidth="1"/>
    <col min="16" max="16" width="13.88671875" style="72" customWidth="1"/>
    <col min="17" max="17" width="14.33203125" style="72" customWidth="1"/>
    <col min="18" max="20" width="8.88671875" style="70"/>
    <col min="21" max="21" width="11.88671875" style="70" bestFit="1" customWidth="1"/>
    <col min="22" max="16384" width="8.88671875" style="70"/>
  </cols>
  <sheetData>
    <row r="1" spans="1:21" x14ac:dyDescent="0.3">
      <c r="A1"/>
      <c r="B1"/>
      <c r="C1"/>
      <c r="D1"/>
      <c r="E1"/>
      <c r="F1" s="78"/>
      <c r="G1" s="78"/>
      <c r="H1" s="78"/>
      <c r="I1" s="78"/>
      <c r="J1"/>
      <c r="K1"/>
      <c r="L1" s="79"/>
      <c r="M1" s="79"/>
      <c r="N1"/>
      <c r="O1"/>
      <c r="P1" s="79"/>
      <c r="Q1" s="79"/>
    </row>
    <row r="2" spans="1:21" x14ac:dyDescent="0.3">
      <c r="A2"/>
      <c r="B2"/>
      <c r="C2"/>
      <c r="D2"/>
      <c r="E2"/>
      <c r="F2" t="s">
        <v>75</v>
      </c>
      <c r="G2"/>
      <c r="H2"/>
      <c r="I2"/>
      <c r="J2"/>
      <c r="K2" s="78"/>
      <c r="L2" s="79"/>
      <c r="M2" s="79"/>
      <c r="N2"/>
      <c r="O2"/>
      <c r="P2" s="79"/>
      <c r="Q2" s="79"/>
    </row>
    <row r="3" spans="1:21" ht="41.4" customHeight="1" x14ac:dyDescent="0.3">
      <c r="A3"/>
      <c r="B3" s="80" t="s">
        <v>76</v>
      </c>
      <c r="C3" s="81" t="s">
        <v>77</v>
      </c>
      <c r="D3" s="82" t="s">
        <v>78</v>
      </c>
      <c r="E3" s="36"/>
      <c r="F3" s="83" t="s">
        <v>3</v>
      </c>
      <c r="G3" s="84" t="s">
        <v>79</v>
      </c>
      <c r="H3" s="85" t="s">
        <v>80</v>
      </c>
      <c r="I3" s="84" t="s">
        <v>81</v>
      </c>
      <c r="J3" s="84" t="s">
        <v>82</v>
      </c>
      <c r="K3" s="84" t="s">
        <v>83</v>
      </c>
      <c r="L3" s="86" t="s">
        <v>84</v>
      </c>
      <c r="M3" s="86" t="s">
        <v>135</v>
      </c>
      <c r="N3" s="87" t="s">
        <v>85</v>
      </c>
      <c r="O3" s="87" t="s">
        <v>86</v>
      </c>
      <c r="P3" s="88" t="s">
        <v>87</v>
      </c>
      <c r="Q3" s="88" t="s">
        <v>136</v>
      </c>
    </row>
    <row r="4" spans="1:21" x14ac:dyDescent="0.3">
      <c r="A4"/>
      <c r="B4" s="89" t="s">
        <v>88</v>
      </c>
      <c r="C4" s="90">
        <f>IF('Inputs &amp; Outputs'!C14="Non-Freeway",INDEX('Emission Factors - NOx'!C22:J37,MATCH('Inputs &amp; Outputs'!C16,'Emission Factors - NOx'!B22:B37,1),MATCH('Inputs &amp; Outputs'!C8,'Emission Factors - NOx'!C21:J21,0)),INDEX('Emission Factors - NOx'!C3:J18,MATCH('Inputs &amp; Outputs'!C16,'Emission Factors - NOx'!B3:B18,1),MATCH('Inputs &amp; Outputs'!C8,'Emission Factors - NOx'!C2:J2,0)))</f>
        <v>3.07166818529E-2</v>
      </c>
      <c r="D4" s="91">
        <f>IF('Inputs &amp; Outputs'!C14="Non-Freeway",INDEX('Emission Factors - VOC'!C22:J37,MATCH('Inputs &amp; Outputs'!C16,'Emission Factors - VOC'!B22:B37,1),MATCH('Inputs &amp; Outputs'!C8,'Emission Factors - VOC'!C21:J21,0)),INDEX('Emission Factors - VOC'!C3:J18,MATCH('Inputs &amp; Outputs'!C16,'Emission Factors - VOC'!B3:B18,1),MATCH('Inputs &amp; Outputs'!C8,'Emission Factors - VOC'!C2:J2,0)))</f>
        <v>3.1460244208599997E-2</v>
      </c>
      <c r="E4"/>
      <c r="F4" s="92">
        <v>2023</v>
      </c>
      <c r="G4" s="93">
        <f>'Inputs &amp; Outputs'!C21</f>
        <v>10447</v>
      </c>
      <c r="H4" s="94" t="s">
        <v>89</v>
      </c>
      <c r="I4" s="92">
        <f>IF(AND(F4&gt;='Inputs &amp; Outputs'!C$12,F4&lt;'Inputs &amp; Outputs'!C$12+'Inputs &amp; Outputs'!C$18),1,0)</f>
        <v>0</v>
      </c>
      <c r="J4" s="95">
        <f>I4*'Inputs &amp; Outputs'!C$15*'Benefit Calculations'!G4*('Benefit Calculations'!C$4-'Benefit Calculations'!C$5)</f>
        <v>0</v>
      </c>
      <c r="K4" s="96">
        <f>(J4*(1/1000000))*365</f>
        <v>0</v>
      </c>
      <c r="L4" s="97">
        <f>(K4*'Value of Emissions'!$C5)</f>
        <v>0</v>
      </c>
      <c r="M4" s="98">
        <f>L4/(1.031^(F4-F$4))</f>
        <v>0</v>
      </c>
      <c r="N4" s="99">
        <f>I4*'Inputs &amp; Outputs'!C$15*'Benefit Calculations'!G4*('Benefit Calculations'!D$4-'Benefit Calculations'!D$5)</f>
        <v>0</v>
      </c>
      <c r="O4" s="96">
        <f>(N4*(1/1000000))*365</f>
        <v>0</v>
      </c>
      <c r="P4" s="97">
        <f>(O4*'Value of Emissions'!$D5)</f>
        <v>0</v>
      </c>
      <c r="Q4" s="98">
        <f>P4/(1.031^(F4-F$4))</f>
        <v>0</v>
      </c>
      <c r="T4" s="73"/>
      <c r="U4" s="74"/>
    </row>
    <row r="5" spans="1:21" x14ac:dyDescent="0.3">
      <c r="A5"/>
      <c r="B5" s="100" t="s">
        <v>90</v>
      </c>
      <c r="C5" s="101">
        <f>IF('Inputs &amp; Outputs'!C14="Non-Freeway",INDEX('Emission Factors - NOx'!C22:J37,MATCH('Inputs &amp; Outputs'!C17,'Emission Factors - NOx'!B22:B37,1),MATCH('Inputs &amp; Outputs'!C8,'Emission Factors - NOx'!C21:J21,0)),INDEX('Emission Factors - NOx'!C3:J18,MATCH('Inputs &amp; Outputs'!C17,'Emission Factors - NOx'!B3:B18,1),MATCH('Inputs &amp; Outputs'!C8,'Emission Factors - NOx'!C2:J2,0)))</f>
        <v>2.8639543801500002E-2</v>
      </c>
      <c r="D5" s="102">
        <f>IF('Inputs &amp; Outputs'!C14="Non-Freeway",INDEX('Emission Factors - VOC'!C22:J37,MATCH('Inputs &amp; Outputs'!C17,'Emission Factors - VOC'!B22:B37,1),MATCH('Inputs &amp; Outputs'!C8,'Emission Factors - VOC'!C21:J21,0)),INDEX('Emission Factors - VOC'!C3:J18,MATCH('Inputs &amp; Outputs'!C17,'Emission Factors - VOC'!B3:B18,1),MATCH('Inputs &amp; Outputs'!C8,'Emission Factors - VOC'!C2:J2,0)))</f>
        <v>2.3948570713400001E-2</v>
      </c>
      <c r="E5"/>
      <c r="F5" s="92">
        <f t="shared" ref="F5:F34" si="0">F4+1</f>
        <v>2024</v>
      </c>
      <c r="G5" s="93">
        <f t="shared" ref="G5:G34" si="1">G4+G4*H5</f>
        <v>10743.138205780931</v>
      </c>
      <c r="H5" s="94">
        <f t="shared" ref="H5:H13" si="2">$C$9</f>
        <v>2.8346722100213606E-2</v>
      </c>
      <c r="I5" s="92">
        <f>IF(AND(F5&gt;='Inputs &amp; Outputs'!C$12,F5&lt;'Inputs &amp; Outputs'!C$12+'Inputs &amp; Outputs'!C$18),1,0)</f>
        <v>0</v>
      </c>
      <c r="J5" s="95">
        <f>I5*'Inputs &amp; Outputs'!C$15*'Benefit Calculations'!G5*('Benefit Calculations'!C$4-'Benefit Calculations'!C$5)</f>
        <v>0</v>
      </c>
      <c r="K5" s="96">
        <f t="shared" ref="K5:K34" si="3">(J5*(1/1000000))*365</f>
        <v>0</v>
      </c>
      <c r="L5" s="97">
        <f>(K5*'Value of Emissions'!$C6)</f>
        <v>0</v>
      </c>
      <c r="M5" s="98">
        <f t="shared" ref="M5:M34" si="4">L5/(1.031^(F5-F$4))</f>
        <v>0</v>
      </c>
      <c r="N5" s="99">
        <f>I5*'Inputs &amp; Outputs'!C$15*'Benefit Calculations'!G5*('Benefit Calculations'!D$4-'Benefit Calculations'!D$5)</f>
        <v>0</v>
      </c>
      <c r="O5" s="96">
        <f t="shared" ref="O5:O34" si="5">(N5*(1/1000000))*365</f>
        <v>0</v>
      </c>
      <c r="P5" s="97">
        <f>(O5*'Value of Emissions'!$D6)</f>
        <v>0</v>
      </c>
      <c r="Q5" s="98">
        <f t="shared" ref="Q5:Q34" si="6">P5/(1.031^(F5-F$4))</f>
        <v>0</v>
      </c>
      <c r="T5" s="73"/>
      <c r="U5" s="74"/>
    </row>
    <row r="6" spans="1:21" x14ac:dyDescent="0.3">
      <c r="A6"/>
      <c r="B6"/>
      <c r="C6"/>
      <c r="D6"/>
      <c r="E6"/>
      <c r="F6" s="92">
        <f t="shared" si="0"/>
        <v>2025</v>
      </c>
      <c r="G6" s="93">
        <f t="shared" si="1"/>
        <v>11047.67095898439</v>
      </c>
      <c r="H6" s="94">
        <f t="shared" si="2"/>
        <v>2.8346722100213606E-2</v>
      </c>
      <c r="I6" s="92">
        <f>IF(AND(F6&gt;='Inputs &amp; Outputs'!C$12,F6&lt;'Inputs &amp; Outputs'!C$12+'Inputs &amp; Outputs'!C$18),1,0)</f>
        <v>0</v>
      </c>
      <c r="J6" s="95">
        <f>I6*'Inputs &amp; Outputs'!C$15*'Benefit Calculations'!G6*('Benefit Calculations'!C$4-'Benefit Calculations'!C$5)</f>
        <v>0</v>
      </c>
      <c r="K6" s="96">
        <f t="shared" si="3"/>
        <v>0</v>
      </c>
      <c r="L6" s="97">
        <f>(K6*'Value of Emissions'!$C7)</f>
        <v>0</v>
      </c>
      <c r="M6" s="98">
        <f t="shared" si="4"/>
        <v>0</v>
      </c>
      <c r="N6" s="99">
        <f>I6*'Inputs &amp; Outputs'!C$15*'Benefit Calculations'!G6*('Benefit Calculations'!D$4-'Benefit Calculations'!D$5)</f>
        <v>0</v>
      </c>
      <c r="O6" s="96">
        <f t="shared" si="5"/>
        <v>0</v>
      </c>
      <c r="P6" s="97">
        <f>(O6*'Value of Emissions'!$D7)</f>
        <v>0</v>
      </c>
      <c r="Q6" s="98">
        <f t="shared" si="6"/>
        <v>0</v>
      </c>
      <c r="T6" s="73"/>
      <c r="U6" s="74"/>
    </row>
    <row r="7" spans="1:21" x14ac:dyDescent="0.3">
      <c r="A7"/>
      <c r="B7"/>
      <c r="C7"/>
      <c r="D7"/>
      <c r="E7"/>
      <c r="F7" s="92">
        <f t="shared" si="0"/>
        <v>2026</v>
      </c>
      <c r="G7" s="93">
        <f t="shared" si="1"/>
        <v>11360.836217513321</v>
      </c>
      <c r="H7" s="94">
        <f t="shared" si="2"/>
        <v>2.8346722100213606E-2</v>
      </c>
      <c r="I7" s="92">
        <f>IF(AND(F7&gt;='Inputs &amp; Outputs'!C$12,F7&lt;'Inputs &amp; Outputs'!C$12+'Inputs &amp; Outputs'!C$18),1,0)</f>
        <v>1</v>
      </c>
      <c r="J7" s="95">
        <f>I7*'Inputs &amp; Outputs'!C$15*'Benefit Calculations'!G7*('Benefit Calculations'!C$4-'Benefit Calculations'!C$5)</f>
        <v>35.39703780468021</v>
      </c>
      <c r="K7" s="96">
        <f t="shared" si="3"/>
        <v>1.2919918798708277E-2</v>
      </c>
      <c r="L7" s="97">
        <f>(K7*'Value of Emissions'!$C8)</f>
        <v>271.3182947728738</v>
      </c>
      <c r="M7" s="98">
        <f t="shared" si="4"/>
        <v>247.57288809933587</v>
      </c>
      <c r="N7" s="99">
        <f>I7*'Inputs &amp; Outputs'!C$15*'Benefit Calculations'!G7*('Benefit Calculations'!D$4-'Benefit Calculations'!D$5)</f>
        <v>128.00833844760447</v>
      </c>
      <c r="O7" s="96">
        <f t="shared" si="5"/>
        <v>4.6723043533375627E-2</v>
      </c>
      <c r="P7" s="97">
        <f>(O7*'Value of Emissions'!$D8)</f>
        <v>47279.047751422797</v>
      </c>
      <c r="Q7" s="98">
        <f t="shared" si="6"/>
        <v>43141.25005173227</v>
      </c>
      <c r="T7" s="73"/>
      <c r="U7" s="74"/>
    </row>
    <row r="8" spans="1:21" x14ac:dyDescent="0.3">
      <c r="A8"/>
      <c r="B8" s="13" t="s">
        <v>21</v>
      </c>
      <c r="C8"/>
      <c r="D8"/>
      <c r="E8"/>
      <c r="F8" s="92">
        <f t="shared" si="0"/>
        <v>2027</v>
      </c>
      <c r="G8" s="93">
        <f t="shared" si="1"/>
        <v>11682.878684597214</v>
      </c>
      <c r="H8" s="94">
        <f t="shared" si="2"/>
        <v>2.8346722100213606E-2</v>
      </c>
      <c r="I8" s="92">
        <f>IF(AND(F8&gt;='Inputs &amp; Outputs'!C$12,F8&lt;'Inputs &amp; Outputs'!C$12+'Inputs &amp; Outputs'!C$18),1,0)</f>
        <v>1</v>
      </c>
      <c r="J8" s="95">
        <f>I8*'Inputs &amp; Outputs'!C$15*'Benefit Calculations'!G8*('Benefit Calculations'!C$4-'Benefit Calculations'!C$5)</f>
        <v>36.400427798500246</v>
      </c>
      <c r="K8" s="96">
        <f>(J8*(1/1000000))*365</f>
        <v>1.3286156146452588E-2</v>
      </c>
      <c r="L8" s="97">
        <f>(K8*'Value of Emissions'!$C9)</f>
        <v>282.99512591944011</v>
      </c>
      <c r="M8" s="98">
        <f t="shared" si="4"/>
        <v>250.46341312188292</v>
      </c>
      <c r="N8" s="99">
        <f>I8*'Inputs &amp; Outputs'!C$15*'Benefit Calculations'!G8*('Benefit Calculations'!D$4-'Benefit Calculations'!D$5)</f>
        <v>131.63695524408882</v>
      </c>
      <c r="O8" s="96">
        <f t="shared" si="5"/>
        <v>4.8047488664092419E-2</v>
      </c>
      <c r="P8" s="97">
        <f>(O8*'Value of Emissions'!$D9)</f>
        <v>49517.741817213646</v>
      </c>
      <c r="Q8" s="98">
        <f t="shared" si="6"/>
        <v>43825.428389738736</v>
      </c>
      <c r="T8" s="73"/>
      <c r="U8" s="74"/>
    </row>
    <row r="9" spans="1:21" x14ac:dyDescent="0.3">
      <c r="A9"/>
      <c r="B9" s="14" t="s">
        <v>91</v>
      </c>
      <c r="C9" s="75">
        <f>IF('Growth Rates'!$C$16&lt;&gt;0,'Growth Rates'!$C$16,VLOOKUP('Inputs &amp; Outputs'!$C$8,'Growth Rates'!$B$4:$D$11,2,FALSE))</f>
        <v>2.8346722100213606E-2</v>
      </c>
      <c r="D9"/>
      <c r="E9"/>
      <c r="F9" s="92">
        <f t="shared" si="0"/>
        <v>2028</v>
      </c>
      <c r="G9" s="93">
        <f t="shared" si="1"/>
        <v>12014.05</v>
      </c>
      <c r="H9" s="94">
        <f t="shared" si="2"/>
        <v>2.8346722100213606E-2</v>
      </c>
      <c r="I9" s="92">
        <f>IF(AND(F9&gt;='Inputs &amp; Outputs'!C$12,F9&lt;'Inputs &amp; Outputs'!C$12+'Inputs &amp; Outputs'!C$18),1,0)</f>
        <v>1</v>
      </c>
      <c r="J9" s="95">
        <f>I9*'Inputs &amp; Outputs'!C$15*'Benefit Calculations'!G9*('Benefit Calculations'!C$4-'Benefit Calculations'!C$5)</f>
        <v>37.432260609633211</v>
      </c>
      <c r="K9" s="96">
        <f>(J9*(1/1000000))*365</f>
        <v>1.3662775122516121E-2</v>
      </c>
      <c r="L9" s="97">
        <f>(K9*'Value of Emissions'!$C10)</f>
        <v>296.48222015859983</v>
      </c>
      <c r="M9" s="98">
        <f t="shared" si="4"/>
        <v>254.51027939560305</v>
      </c>
      <c r="N9" s="99">
        <f>I9*'Inputs &amp; Outputs'!C$15*'Benefit Calculations'!G9*('Benefit Calculations'!D$4-'Benefit Calculations'!D$5)</f>
        <v>135.36843143251124</v>
      </c>
      <c r="O9" s="96">
        <f>(N9*(1/1000000))*365</f>
        <v>4.94094774728666E-2</v>
      </c>
      <c r="P9" s="97">
        <f>(O9*'Value of Emissions'!$D10)</f>
        <v>51860.187555520781</v>
      </c>
      <c r="Q9" s="98">
        <f t="shared" si="6"/>
        <v>44518.523968160182</v>
      </c>
      <c r="T9" s="73"/>
      <c r="U9" s="74"/>
    </row>
    <row r="10" spans="1:21" x14ac:dyDescent="0.3">
      <c r="A10"/>
      <c r="B10" s="14" t="s">
        <v>92</v>
      </c>
      <c r="C10" s="75">
        <f>IF('Growth Rates'!$C$16&lt;&gt;0,'Growth Rates'!$C$16,VLOOKUP('Inputs &amp; Outputs'!$C$8,'Growth Rates'!$B$4:$D$11,3,FALSE))</f>
        <v>2.8346722100213606E-2</v>
      </c>
      <c r="D10"/>
      <c r="E10"/>
      <c r="F10" s="92">
        <f t="shared" si="0"/>
        <v>2029</v>
      </c>
      <c r="G10" s="93">
        <f t="shared" si="1"/>
        <v>12354.60893664807</v>
      </c>
      <c r="H10" s="94">
        <f t="shared" si="2"/>
        <v>2.8346722100213606E-2</v>
      </c>
      <c r="I10" s="92">
        <f>IF(AND(F10&gt;='Inputs &amp; Outputs'!C$12,F10&lt;'Inputs &amp; Outputs'!C$12+'Inputs &amp; Outputs'!C$18),1,0)</f>
        <v>1</v>
      </c>
      <c r="J10" s="95">
        <f>I10*'Inputs &amp; Outputs'!C$15*'Benefit Calculations'!G10*('Benefit Calculations'!C$4-'Benefit Calculations'!C$5)</f>
        <v>38.493342498717254</v>
      </c>
      <c r="K10" s="96">
        <f t="shared" si="3"/>
        <v>1.4050070012031797E-2</v>
      </c>
      <c r="L10" s="97">
        <f>(K10*'Value of Emissions'!$C11)</f>
        <v>309.10154026469951</v>
      </c>
      <c r="M10" s="98">
        <f t="shared" si="4"/>
        <v>257.36481757946575</v>
      </c>
      <c r="N10" s="99">
        <f>I10*'Inputs &amp; Outputs'!C$15*'Benefit Calculations'!G10*('Benefit Calculations'!D$4-'Benefit Calculations'!D$5)</f>
        <v>139.20568273947046</v>
      </c>
      <c r="O10" s="96">
        <f t="shared" si="5"/>
        <v>5.0810074199906713E-2</v>
      </c>
      <c r="P10" s="97">
        <f>(O10*'Value of Emissions'!$D11)</f>
        <v>54315.969319700278</v>
      </c>
      <c r="Q10" s="98">
        <f t="shared" si="6"/>
        <v>45224.68417221593</v>
      </c>
      <c r="T10" s="73"/>
      <c r="U10" s="74"/>
    </row>
    <row r="11" spans="1:21" x14ac:dyDescent="0.3">
      <c r="A11"/>
      <c r="B11"/>
      <c r="C11" s="103"/>
      <c r="D11"/>
      <c r="E11"/>
      <c r="F11" s="92">
        <f t="shared" si="0"/>
        <v>2030</v>
      </c>
      <c r="G11" s="93">
        <f t="shared" si="1"/>
        <v>12704.821602832048</v>
      </c>
      <c r="H11" s="94">
        <f t="shared" si="2"/>
        <v>2.8346722100213606E-2</v>
      </c>
      <c r="I11" s="92">
        <f>IF(AND(F11&gt;='Inputs &amp; Outputs'!C$12,F11&lt;'Inputs &amp; Outputs'!C$12+'Inputs &amp; Outputs'!C$18),1,0)</f>
        <v>1</v>
      </c>
      <c r="J11" s="95">
        <f>I11*'Inputs &amp; Outputs'!C$15*'Benefit Calculations'!G11*('Benefit Calculations'!C$4-'Benefit Calculations'!C$5)</f>
        <v>39.584502581236741</v>
      </c>
      <c r="K11" s="96">
        <f t="shared" si="3"/>
        <v>1.444834344215141E-2</v>
      </c>
      <c r="L11" s="97">
        <f>(K11*'Value of Emissions'!$C12)</f>
        <v>317.863555727331</v>
      </c>
      <c r="M11" s="98">
        <f t="shared" si="4"/>
        <v>256.70248937125427</v>
      </c>
      <c r="N11" s="99">
        <f>I11*'Inputs &amp; Outputs'!C$15*'Benefit Calculations'!G11*('Benefit Calculations'!D$4-'Benefit Calculations'!D$5)</f>
        <v>143.15170754285674</v>
      </c>
      <c r="O11" s="96">
        <f t="shared" si="5"/>
        <v>5.2250373253142711E-2</v>
      </c>
      <c r="P11" s="97">
        <f>(O11*'Value of Emissions'!$D12)</f>
        <v>55855.649007609558</v>
      </c>
      <c r="Q11" s="98">
        <f t="shared" si="6"/>
        <v>45108.298473827039</v>
      </c>
      <c r="T11" s="73"/>
      <c r="U11" s="74"/>
    </row>
    <row r="12" spans="1:21" x14ac:dyDescent="0.3">
      <c r="A12"/>
      <c r="B12"/>
      <c r="C12" s="35"/>
      <c r="D12"/>
      <c r="E12"/>
      <c r="F12" s="92">
        <f t="shared" si="0"/>
        <v>2031</v>
      </c>
      <c r="G12" s="93">
        <f t="shared" si="1"/>
        <v>13064.961650140318</v>
      </c>
      <c r="H12" s="94">
        <f t="shared" si="2"/>
        <v>2.8346722100213606E-2</v>
      </c>
      <c r="I12" s="92">
        <f>IF(AND(F12&gt;='Inputs &amp; Outputs'!C$12,F12&lt;'Inputs &amp; Outputs'!C$12+'Inputs &amp; Outputs'!C$18),1,0)</f>
        <v>1</v>
      </c>
      <c r="J12" s="95">
        <f>I12*'Inputs &amp; Outputs'!C$15*'Benefit Calculations'!G12*('Benefit Calculations'!C$4-'Benefit Calculations'!C$5)</f>
        <v>40.706593475382242</v>
      </c>
      <c r="K12" s="96">
        <f t="shared" si="3"/>
        <v>1.4857906618514518E-2</v>
      </c>
      <c r="L12" s="97">
        <f>(K12*'Value of Emissions'!$C13)</f>
        <v>326.8739456073194</v>
      </c>
      <c r="M12" s="98">
        <f t="shared" si="4"/>
        <v>256.04186566430093</v>
      </c>
      <c r="N12" s="99">
        <f>I12*'Inputs &amp; Outputs'!C$15*'Benefit Calculations'!G12*('Benefit Calculations'!D$4-'Benefit Calculations'!D$5)</f>
        <v>147.20958921474511</v>
      </c>
      <c r="O12" s="96">
        <f t="shared" si="5"/>
        <v>5.3731500063381961E-2</v>
      </c>
      <c r="P12" s="97">
        <f>(O12*'Value of Emissions'!$D13)</f>
        <v>57438.973567755318</v>
      </c>
      <c r="Q12" s="98">
        <f t="shared" si="6"/>
        <v>44992.212293965167</v>
      </c>
      <c r="T12" s="73"/>
      <c r="U12" s="74"/>
    </row>
    <row r="13" spans="1:21" x14ac:dyDescent="0.3">
      <c r="A13"/>
      <c r="B13"/>
      <c r="C13" s="35"/>
      <c r="D13"/>
      <c r="E13"/>
      <c r="F13" s="92">
        <f t="shared" si="0"/>
        <v>2032</v>
      </c>
      <c r="G13" s="93">
        <f t="shared" si="1"/>
        <v>13435.310487286793</v>
      </c>
      <c r="H13" s="94">
        <f t="shared" si="2"/>
        <v>2.8346722100213606E-2</v>
      </c>
      <c r="I13" s="92">
        <f>IF(AND(F13&gt;='Inputs &amp; Outputs'!C$12,F13&lt;'Inputs &amp; Outputs'!C$12+'Inputs &amp; Outputs'!C$18),1,0)</f>
        <v>1</v>
      </c>
      <c r="J13" s="95">
        <f>I13*'Inputs &amp; Outputs'!C$15*'Benefit Calculations'!G13*('Benefit Calculations'!C$4-'Benefit Calculations'!C$5)</f>
        <v>41.860491968275277</v>
      </c>
      <c r="K13" s="96">
        <f t="shared" si="3"/>
        <v>1.5279079568420477E-2</v>
      </c>
      <c r="L13" s="97">
        <f>(K13*'Value of Emissions'!$C14)</f>
        <v>336.1397505052505</v>
      </c>
      <c r="M13" s="98">
        <f t="shared" si="4"/>
        <v>255.38294207207292</v>
      </c>
      <c r="N13" s="99">
        <f>I13*'Inputs &amp; Outputs'!C$15*'Benefit Calculations'!G13*('Benefit Calculations'!D$4-'Benefit Calculations'!D$5)</f>
        <v>151.38249853070212</v>
      </c>
      <c r="O13" s="96">
        <f t="shared" si="5"/>
        <v>5.525461196370627E-2</v>
      </c>
      <c r="P13" s="97">
        <f>(O13*'Value of Emissions'!$D14)</f>
        <v>59067.180189202001</v>
      </c>
      <c r="Q13" s="98">
        <f t="shared" si="6"/>
        <v>44876.424861819622</v>
      </c>
      <c r="T13" s="73"/>
      <c r="U13" s="74"/>
    </row>
    <row r="14" spans="1:21" x14ac:dyDescent="0.3">
      <c r="A14"/>
      <c r="B14"/>
      <c r="C14" s="35"/>
      <c r="D14"/>
      <c r="E14"/>
      <c r="F14" s="92">
        <f t="shared" si="0"/>
        <v>2033</v>
      </c>
      <c r="G14" s="93">
        <f t="shared" si="1"/>
        <v>13816.157499999998</v>
      </c>
      <c r="H14" s="94">
        <f>$C$10</f>
        <v>2.8346722100213606E-2</v>
      </c>
      <c r="I14" s="92">
        <f>IF(AND(F14&gt;='Inputs &amp; Outputs'!C$12,F14&lt;'Inputs &amp; Outputs'!C$12+'Inputs &amp; Outputs'!C$18),1,0)</f>
        <v>1</v>
      </c>
      <c r="J14" s="95">
        <f>I14*'Inputs &amp; Outputs'!C$15*'Benefit Calculations'!G14*('Benefit Calculations'!C$4-'Benefit Calculations'!C$5)</f>
        <v>43.047099701078189</v>
      </c>
      <c r="K14" s="96">
        <f t="shared" si="3"/>
        <v>1.5712191390893537E-2</v>
      </c>
      <c r="L14" s="97">
        <f>(K14*'Value of Emissions'!$C15)</f>
        <v>345.66821059965781</v>
      </c>
      <c r="M14" s="98">
        <f t="shared" si="4"/>
        <v>254.72571421932571</v>
      </c>
      <c r="N14" s="99">
        <f>I14*'Inputs &amp; Outputs'!C$15*'Benefit Calculations'!G14*('Benefit Calculations'!D$4-'Benefit Calculations'!D$5)</f>
        <v>155.67369614738791</v>
      </c>
      <c r="O14" s="96">
        <f t="shared" si="5"/>
        <v>5.682089909379659E-2</v>
      </c>
      <c r="P14" s="97">
        <f>(O14*'Value of Emissions'!$D15)</f>
        <v>60741.541131268554</v>
      </c>
      <c r="Q14" s="98">
        <f t="shared" si="6"/>
        <v>44760.935408563273</v>
      </c>
      <c r="T14" s="73"/>
      <c r="U14" s="74"/>
    </row>
    <row r="15" spans="1:21" x14ac:dyDescent="0.3">
      <c r="A15"/>
      <c r="B15"/>
      <c r="C15" s="103"/>
      <c r="D15"/>
      <c r="E15"/>
      <c r="F15" s="92">
        <f t="shared" si="0"/>
        <v>2034</v>
      </c>
      <c r="G15" s="93">
        <f t="shared" si="1"/>
        <v>14207.800277145279</v>
      </c>
      <c r="H15" s="94">
        <f t="shared" ref="H15:H29" si="7">$C$10</f>
        <v>2.8346722100213606E-2</v>
      </c>
      <c r="I15" s="92">
        <f>IF(AND(F15&gt;='Inputs &amp; Outputs'!C$12,F15&lt;'Inputs &amp; Outputs'!C$12+'Inputs &amp; Outputs'!C$18),1,0)</f>
        <v>1</v>
      </c>
      <c r="J15" s="95">
        <f>I15*'Inputs &amp; Outputs'!C$15*'Benefit Calculations'!G15*('Benefit Calculations'!C$4-'Benefit Calculations'!C$5)</f>
        <v>44.267343873524844</v>
      </c>
      <c r="K15" s="96">
        <f t="shared" si="3"/>
        <v>1.6157580513836568E-2</v>
      </c>
      <c r="L15" s="97">
        <f>(K15*'Value of Emissions'!$C16)</f>
        <v>355.46677130440452</v>
      </c>
      <c r="M15" s="98">
        <f t="shared" si="4"/>
        <v>254.07017774207512</v>
      </c>
      <c r="N15" s="99">
        <f>I15*'Inputs &amp; Outputs'!C$15*'Benefit Calculations'!G15*('Benefit Calculations'!D$4-'Benefit Calculations'!D$5)</f>
        <v>160.086535150391</v>
      </c>
      <c r="O15" s="96">
        <f t="shared" si="5"/>
        <v>5.8431585329892712E-2</v>
      </c>
      <c r="P15" s="97">
        <f>(O15*'Value of Emissions'!$D16)</f>
        <v>62463.364717655306</v>
      </c>
      <c r="Q15" s="98">
        <f t="shared" si="6"/>
        <v>44645.743167347646</v>
      </c>
      <c r="T15" s="73"/>
      <c r="U15" s="74"/>
    </row>
    <row r="16" spans="1:21" x14ac:dyDescent="0.3">
      <c r="A16"/>
      <c r="B16"/>
      <c r="C16" s="103"/>
      <c r="D16"/>
      <c r="E16"/>
      <c r="F16" s="92">
        <f t="shared" si="0"/>
        <v>2035</v>
      </c>
      <c r="G16" s="93">
        <f t="shared" si="1"/>
        <v>14610.544843256854</v>
      </c>
      <c r="H16" s="94">
        <f t="shared" si="7"/>
        <v>2.8346722100213606E-2</v>
      </c>
      <c r="I16" s="92">
        <f>IF(AND(F16&gt;='Inputs &amp; Outputs'!C$12,F16&lt;'Inputs &amp; Outputs'!C$12+'Inputs &amp; Outputs'!C$18),1,0)</f>
        <v>1</v>
      </c>
      <c r="J16" s="95">
        <f>I16*'Inputs &amp; Outputs'!C$15*'Benefit Calculations'!G16*('Benefit Calculations'!C$4-'Benefit Calculations'!C$5)</f>
        <v>45.522177968422248</v>
      </c>
      <c r="K16" s="96">
        <f t="shared" si="3"/>
        <v>1.661559495847412E-2</v>
      </c>
      <c r="L16" s="97">
        <f>(K16*'Value of Emissions'!$C17)</f>
        <v>365.54308908643065</v>
      </c>
      <c r="M16" s="98">
        <f t="shared" si="4"/>
        <v>253.41632828756701</v>
      </c>
      <c r="N16" s="99">
        <f>I16*'Inputs &amp; Outputs'!C$15*'Benefit Calculations'!G16*('Benefit Calculations'!D$4-'Benefit Calculations'!D$5)</f>
        <v>164.62446367428524</v>
      </c>
      <c r="O16" s="96">
        <f t="shared" si="5"/>
        <v>6.0087929241114113E-2</v>
      </c>
      <c r="P16" s="97">
        <f>(O16*'Value of Emissions'!$D17)</f>
        <v>64233.996358750985</v>
      </c>
      <c r="Q16" s="98">
        <f t="shared" si="6"/>
        <v>44530.847373297744</v>
      </c>
      <c r="T16" s="73"/>
      <c r="U16" s="74"/>
    </row>
    <row r="17" spans="1:21" x14ac:dyDescent="0.3">
      <c r="A17"/>
      <c r="B17"/>
      <c r="C17" s="103"/>
      <c r="D17"/>
      <c r="E17"/>
      <c r="F17" s="92">
        <f t="shared" si="0"/>
        <v>2036</v>
      </c>
      <c r="G17" s="93">
        <f t="shared" si="1"/>
        <v>15024.705897661364</v>
      </c>
      <c r="H17" s="94">
        <f t="shared" si="7"/>
        <v>2.8346722100213606E-2</v>
      </c>
      <c r="I17" s="92">
        <f>IF(AND(F17&gt;='Inputs &amp; Outputs'!C$12,F17&lt;'Inputs &amp; Outputs'!C$12+'Inputs &amp; Outputs'!C$18),1,0)</f>
        <v>1</v>
      </c>
      <c r="J17" s="95">
        <f>I17*'Inputs &amp; Outputs'!C$15*'Benefit Calculations'!G17*('Benefit Calculations'!C$4-'Benefit Calculations'!C$5)</f>
        <v>46.812582496689579</v>
      </c>
      <c r="K17" s="96">
        <f t="shared" si="3"/>
        <v>1.7086592611291695E-2</v>
      </c>
      <c r="L17" s="97">
        <f>(K17*'Value of Emissions'!$C18)</f>
        <v>375.90503744841732</v>
      </c>
      <c r="M17" s="98">
        <f t="shared" si="4"/>
        <v>252.76416151424942</v>
      </c>
      <c r="N17" s="99">
        <f>I17*'Inputs &amp; Outputs'!C$15*'Benefit Calculations'!G17*('Benefit Calculations'!D$4-'Benefit Calculations'!D$5)</f>
        <v>169.29102759695689</v>
      </c>
      <c r="O17" s="96">
        <f t="shared" si="5"/>
        <v>6.1791225072889262E-2</v>
      </c>
      <c r="P17" s="97">
        <f>(O17*'Value of Emissions'!$D18)</f>
        <v>66054.819602918622</v>
      </c>
      <c r="Q17" s="98">
        <f t="shared" si="6"/>
        <v>44416.247263506921</v>
      </c>
      <c r="T17" s="73"/>
      <c r="U17" s="74"/>
    </row>
    <row r="18" spans="1:21" x14ac:dyDescent="0.3">
      <c r="A18"/>
      <c r="B18"/>
      <c r="C18"/>
      <c r="D18"/>
      <c r="E18"/>
      <c r="F18" s="92">
        <f t="shared" si="0"/>
        <v>2037</v>
      </c>
      <c r="G18" s="93">
        <f t="shared" si="1"/>
        <v>15450.607060379811</v>
      </c>
      <c r="H18" s="94">
        <f t="shared" si="7"/>
        <v>2.8346722100213606E-2</v>
      </c>
      <c r="I18" s="92">
        <f>IF(AND(F18&gt;='Inputs &amp; Outputs'!C$12,F18&lt;'Inputs &amp; Outputs'!C$12+'Inputs &amp; Outputs'!C$18),1,0)</f>
        <v>1</v>
      </c>
      <c r="J18" s="95">
        <f>I18*'Inputs &amp; Outputs'!C$15*'Benefit Calculations'!G18*('Benefit Calculations'!C$4-'Benefit Calculations'!C$5)</f>
        <v>48.139565763516558</v>
      </c>
      <c r="K18" s="96">
        <f t="shared" si="3"/>
        <v>1.7570941503683542E-2</v>
      </c>
      <c r="L18" s="97">
        <f>(K18*'Value of Emissions'!$C19)</f>
        <v>386.56071308103793</v>
      </c>
      <c r="M18" s="98">
        <f t="shared" si="4"/>
        <v>252.11367309174332</v>
      </c>
      <c r="N18" s="99">
        <f>I18*'Inputs &amp; Outputs'!C$15*'Benefit Calculations'!G18*('Benefit Calculations'!D$4-'Benefit Calculations'!D$5)</f>
        <v>174.08987331030741</v>
      </c>
      <c r="O18" s="96">
        <f t="shared" si="5"/>
        <v>6.3542803758262198E-2</v>
      </c>
      <c r="P18" s="97">
        <f>(O18*'Value of Emissions'!$D19)</f>
        <v>67927.257217582286</v>
      </c>
      <c r="Q18" s="98">
        <f t="shared" si="6"/>
        <v>44301.942077031934</v>
      </c>
      <c r="T18" s="73"/>
      <c r="U18" s="74"/>
    </row>
    <row r="19" spans="1:21" x14ac:dyDescent="0.3">
      <c r="A19"/>
      <c r="B19"/>
      <c r="C19"/>
      <c r="D19"/>
      <c r="E19"/>
      <c r="F19" s="92">
        <f t="shared" si="0"/>
        <v>2038</v>
      </c>
      <c r="G19" s="93">
        <f t="shared" si="1"/>
        <v>15888.581124999995</v>
      </c>
      <c r="H19" s="94">
        <f t="shared" si="7"/>
        <v>2.8346722100213606E-2</v>
      </c>
      <c r="I19" s="92">
        <f>IF(AND(F19&gt;='Inputs &amp; Outputs'!C$12,F19&lt;'Inputs &amp; Outputs'!C$12+'Inputs &amp; Outputs'!C$18),1,0)</f>
        <v>1</v>
      </c>
      <c r="J19" s="95">
        <f>I19*'Inputs &amp; Outputs'!C$15*'Benefit Calculations'!G19*('Benefit Calculations'!C$4-'Benefit Calculations'!C$5)</f>
        <v>49.504164656239915</v>
      </c>
      <c r="K19" s="96">
        <f t="shared" si="3"/>
        <v>1.8069020099527568E-2</v>
      </c>
      <c r="L19" s="97">
        <f>(K19*'Value of Emissions'!$C20)</f>
        <v>397.5184421896065</v>
      </c>
      <c r="M19" s="98">
        <f t="shared" si="4"/>
        <v>251.46485870081386</v>
      </c>
      <c r="N19" s="99">
        <f>I19*'Inputs &amp; Outputs'!C$15*'Benefit Calculations'!G19*('Benefit Calculations'!D$4-'Benefit Calculations'!D$5)</f>
        <v>179.02475056949609</v>
      </c>
      <c r="O19" s="96">
        <f t="shared" si="5"/>
        <v>6.5344033957866074E-2</v>
      </c>
      <c r="P19" s="97">
        <f>(O19*'Value of Emissions'!$D20)</f>
        <v>69852.772300958837</v>
      </c>
      <c r="Q19" s="98">
        <f t="shared" si="6"/>
        <v>44187.931054887806</v>
      </c>
      <c r="T19" s="73"/>
      <c r="U19" s="74"/>
    </row>
    <row r="20" spans="1:21" x14ac:dyDescent="0.3">
      <c r="A20"/>
      <c r="B20"/>
      <c r="C20"/>
      <c r="D20"/>
      <c r="E20"/>
      <c r="F20" s="92">
        <f t="shared" si="0"/>
        <v>2039</v>
      </c>
      <c r="G20" s="93">
        <f t="shared" si="1"/>
        <v>16338.970318717069</v>
      </c>
      <c r="H20" s="94">
        <f t="shared" si="7"/>
        <v>2.8346722100213606E-2</v>
      </c>
      <c r="I20" s="92">
        <f>IF(AND(F20&gt;='Inputs &amp; Outputs'!C$12,F20&lt;'Inputs &amp; Outputs'!C$12+'Inputs &amp; Outputs'!C$18),1,0)</f>
        <v>1</v>
      </c>
      <c r="J20" s="95">
        <f>I20*'Inputs &amp; Outputs'!C$15*'Benefit Calculations'!G20*('Benefit Calculations'!C$4-'Benefit Calculations'!C$5)</f>
        <v>50.907445454553567</v>
      </c>
      <c r="K20" s="96">
        <f t="shared" si="3"/>
        <v>1.8581217590912052E-2</v>
      </c>
      <c r="L20" s="97">
        <f>(K20*'Value of Emissions'!$C21)</f>
        <v>408.78678700006515</v>
      </c>
      <c r="M20" s="98">
        <f t="shared" si="4"/>
        <v>250.81771403334173</v>
      </c>
      <c r="N20" s="99">
        <f>I20*'Inputs &amp; Outputs'!C$15*'Benefit Calculations'!G20*('Benefit Calculations'!D$4-'Benefit Calculations'!D$5)</f>
        <v>184.09951542294965</v>
      </c>
      <c r="O20" s="96">
        <f t="shared" si="5"/>
        <v>6.7196323129376623E-2</v>
      </c>
      <c r="P20" s="97">
        <f>(O20*'Value of Emissions'!$D21)</f>
        <v>71832.869425303608</v>
      </c>
      <c r="Q20" s="98">
        <f t="shared" si="6"/>
        <v>44074.213440042782</v>
      </c>
      <c r="T20" s="73"/>
      <c r="U20" s="74"/>
    </row>
    <row r="21" spans="1:21" x14ac:dyDescent="0.3">
      <c r="A21"/>
      <c r="B21"/>
      <c r="C21"/>
      <c r="D21"/>
      <c r="E21"/>
      <c r="F21" s="92">
        <f t="shared" si="0"/>
        <v>2040</v>
      </c>
      <c r="G21" s="93">
        <f t="shared" si="1"/>
        <v>16802.126569745382</v>
      </c>
      <c r="H21" s="94">
        <f t="shared" si="7"/>
        <v>2.8346722100213606E-2</v>
      </c>
      <c r="I21" s="92">
        <f>IF(AND(F21&gt;='Inputs &amp; Outputs'!C$12,F21&lt;'Inputs &amp; Outputs'!C$12+'Inputs &amp; Outputs'!C$18),1,0)</f>
        <v>1</v>
      </c>
      <c r="J21" s="95">
        <f>I21*'Inputs &amp; Outputs'!C$15*'Benefit Calculations'!G21*('Benefit Calculations'!C$4-'Benefit Calculations'!C$5)</f>
        <v>52.350504663685591</v>
      </c>
      <c r="K21" s="96">
        <f t="shared" si="3"/>
        <v>1.9107934202245241E-2</v>
      </c>
      <c r="L21" s="97">
        <f>(K21*'Value of Emissions'!$C22)</f>
        <v>420.37455244939531</v>
      </c>
      <c r="M21" s="98">
        <f t="shared" si="4"/>
        <v>250.17223479229466</v>
      </c>
      <c r="N21" s="99">
        <f>I21*'Inputs &amp; Outputs'!C$15*'Benefit Calculations'!G21*('Benefit Calculations'!D$4-'Benefit Calculations'!D$5)</f>
        <v>189.31813322542803</v>
      </c>
      <c r="O21" s="96">
        <f t="shared" si="5"/>
        <v>6.910111862728123E-2</v>
      </c>
      <c r="P21" s="97">
        <f>(O21*'Value of Emissions'!$D22)</f>
        <v>73869.095812563639</v>
      </c>
      <c r="Q21" s="98">
        <f t="shared" si="6"/>
        <v>43960.788477413371</v>
      </c>
      <c r="T21" s="73"/>
      <c r="U21" s="74"/>
    </row>
    <row r="22" spans="1:21" x14ac:dyDescent="0.3">
      <c r="A22"/>
      <c r="B22"/>
      <c r="C22"/>
      <c r="D22"/>
      <c r="E22"/>
      <c r="F22" s="92">
        <f t="shared" si="0"/>
        <v>2041</v>
      </c>
      <c r="G22" s="93">
        <f t="shared" si="1"/>
        <v>17278.41178231057</v>
      </c>
      <c r="H22" s="94">
        <f t="shared" si="7"/>
        <v>2.8346722100213606E-2</v>
      </c>
      <c r="I22" s="92">
        <f>IF(AND(F22&gt;='Inputs &amp; Outputs'!C$12,F22&lt;'Inputs &amp; Outputs'!C$12+'Inputs &amp; Outputs'!C$18),1,0)</f>
        <v>1</v>
      </c>
      <c r="J22" s="95">
        <f>I22*'Inputs &amp; Outputs'!C$15*'Benefit Calculations'!G22*('Benefit Calculations'!C$4-'Benefit Calculations'!C$5)</f>
        <v>53.834469871193015</v>
      </c>
      <c r="K22" s="96">
        <f t="shared" si="3"/>
        <v>1.9649581502985451E-2</v>
      </c>
      <c r="L22" s="97">
        <f>(K22*'Value of Emissions'!$C23)</f>
        <v>432.29079306567991</v>
      </c>
      <c r="M22" s="98">
        <f t="shared" si="4"/>
        <v>249.52841669169854</v>
      </c>
      <c r="N22" s="99">
        <f>I22*'Inputs &amp; Outputs'!C$15*'Benefit Calculations'!G22*('Benefit Calculations'!D$4-'Benefit Calculations'!D$5)</f>
        <v>194.68468173650044</v>
      </c>
      <c r="O22" s="96">
        <f t="shared" si="5"/>
        <v>7.1059908833822655E-2</v>
      </c>
      <c r="P22" s="97">
        <f>(O22*'Value of Emissions'!$D23)</f>
        <v>75963.042543356423</v>
      </c>
      <c r="Q22" s="98">
        <f t="shared" si="6"/>
        <v>43847.65541385924</v>
      </c>
      <c r="T22" s="73"/>
      <c r="U22" s="74"/>
    </row>
    <row r="23" spans="1:21" x14ac:dyDescent="0.3">
      <c r="A23"/>
      <c r="B23"/>
      <c r="C23"/>
      <c r="D23"/>
      <c r="E23"/>
      <c r="F23" s="92">
        <f t="shared" si="0"/>
        <v>2042</v>
      </c>
      <c r="G23" s="93">
        <f t="shared" si="1"/>
        <v>17768.198119436784</v>
      </c>
      <c r="H23" s="94">
        <f t="shared" si="7"/>
        <v>2.8346722100213606E-2</v>
      </c>
      <c r="I23" s="92">
        <f>IF(AND(F23&gt;='Inputs &amp; Outputs'!C$12,F23&lt;'Inputs &amp; Outputs'!C$12+'Inputs &amp; Outputs'!C$18),1,0)</f>
        <v>1</v>
      </c>
      <c r="J23" s="95">
        <f>I23*'Inputs &amp; Outputs'!C$15*'Benefit Calculations'!G23*('Benefit Calculations'!C$4-'Benefit Calculations'!C$5)</f>
        <v>55.360500628044043</v>
      </c>
      <c r="K23" s="96">
        <f t="shared" si="3"/>
        <v>2.0206582729236075E-2</v>
      </c>
      <c r="L23" s="97">
        <f>(K23*'Value of Emissions'!$C24)</f>
        <v>444.54482004319362</v>
      </c>
      <c r="M23" s="98">
        <f t="shared" si="4"/>
        <v>248.88625545660952</v>
      </c>
      <c r="N23" s="99">
        <f>I23*'Inputs &amp; Outputs'!C$15*'Benefit Calculations'!G23*('Benefit Calculations'!D$4-'Benefit Calculations'!D$5)</f>
        <v>200.20335430685353</v>
      </c>
      <c r="O23" s="96">
        <f t="shared" si="5"/>
        <v>7.3074224322001544E-2</v>
      </c>
      <c r="P23" s="97">
        <f>(O23*'Value of Emissions'!$D24)</f>
        <v>78116.345800219657</v>
      </c>
      <c r="Q23" s="98">
        <f t="shared" si="6"/>
        <v>43734.813498178322</v>
      </c>
      <c r="T23" s="73"/>
      <c r="U23" s="74"/>
    </row>
    <row r="24" spans="1:21" x14ac:dyDescent="0.3">
      <c r="A24"/>
      <c r="B24"/>
      <c r="C24"/>
      <c r="D24"/>
      <c r="E24"/>
      <c r="F24" s="92">
        <f t="shared" si="0"/>
        <v>2043</v>
      </c>
      <c r="G24" s="93">
        <f t="shared" si="1"/>
        <v>18271.868293749994</v>
      </c>
      <c r="H24" s="94">
        <f t="shared" si="7"/>
        <v>2.8346722100213606E-2</v>
      </c>
      <c r="I24" s="92">
        <f>IF(AND(F24&gt;='Inputs &amp; Outputs'!C$12,F24&lt;'Inputs &amp; Outputs'!C$12+'Inputs &amp; Outputs'!C$18),1,0)</f>
        <v>1</v>
      </c>
      <c r="J24" s="95">
        <f>I24*'Inputs &amp; Outputs'!C$15*'Benefit Calculations'!G24*('Benefit Calculations'!C$4-'Benefit Calculations'!C$5)</f>
        <v>56.929789354675904</v>
      </c>
      <c r="K24" s="96">
        <f t="shared" si="3"/>
        <v>2.0779373114456701E-2</v>
      </c>
      <c r="L24" s="97">
        <f>(K24*'Value of Emissions'!$C25)</f>
        <v>457.14620851804744</v>
      </c>
      <c r="M24" s="98">
        <f t="shared" si="4"/>
        <v>248.24574682308511</v>
      </c>
      <c r="N24" s="99">
        <f>I24*'Inputs &amp; Outputs'!C$15*'Benefit Calculations'!G24*('Benefit Calculations'!D$4-'Benefit Calculations'!D$5)</f>
        <v>205.8784631549205</v>
      </c>
      <c r="O24" s="96">
        <f t="shared" si="5"/>
        <v>7.5145639051545976E-2</v>
      </c>
      <c r="P24" s="97">
        <f>(O24*'Value of Emissions'!$D25)</f>
        <v>80330.68814610265</v>
      </c>
      <c r="Q24" s="98">
        <f t="shared" si="6"/>
        <v>43622.261981101685</v>
      </c>
      <c r="T24" s="73"/>
      <c r="U24" s="74"/>
    </row>
    <row r="25" spans="1:21" x14ac:dyDescent="0.3">
      <c r="A25"/>
      <c r="B25"/>
      <c r="C25"/>
      <c r="D25"/>
      <c r="E25"/>
      <c r="F25" s="92">
        <f t="shared" si="0"/>
        <v>2044</v>
      </c>
      <c r="G25" s="93">
        <f t="shared" si="1"/>
        <v>18789.81586652463</v>
      </c>
      <c r="H25" s="94">
        <f t="shared" si="7"/>
        <v>2.8346722100213606E-2</v>
      </c>
      <c r="I25" s="92">
        <f>IF(AND(F25&gt;='Inputs &amp; Outputs'!C$12,F25&lt;'Inputs &amp; Outputs'!C$12+'Inputs &amp; Outputs'!C$18),1,0)</f>
        <v>1</v>
      </c>
      <c r="J25" s="95">
        <f>I25*'Inputs &amp; Outputs'!C$15*'Benefit Calculations'!G25*('Benefit Calculations'!C$4-'Benefit Calculations'!C$5)</f>
        <v>58.543562272736601</v>
      </c>
      <c r="K25" s="96">
        <f t="shared" si="3"/>
        <v>2.1368400229548858E-2</v>
      </c>
      <c r="L25" s="97">
        <f>(K25*'Value of Emissions'!$C26)</f>
        <v>470.1048050500749</v>
      </c>
      <c r="M25" s="98">
        <f t="shared" si="4"/>
        <v>247.60688653815632</v>
      </c>
      <c r="N25" s="99">
        <f>I25*'Inputs &amp; Outputs'!C$15*'Benefit Calculations'!G25*('Benefit Calculations'!D$4-'Benefit Calculations'!D$5)</f>
        <v>211.7144427363921</v>
      </c>
      <c r="O25" s="96">
        <f t="shared" si="5"/>
        <v>7.7275771598783113E-2</v>
      </c>
      <c r="P25" s="97">
        <f>(O25*'Value of Emissions'!$D26)</f>
        <v>82607.799839099142</v>
      </c>
      <c r="Q25" s="98">
        <f t="shared" si="6"/>
        <v>43510.000115288734</v>
      </c>
      <c r="T25" s="73"/>
      <c r="U25" s="74"/>
    </row>
    <row r="26" spans="1:21" x14ac:dyDescent="0.3">
      <c r="A26"/>
      <c r="B26"/>
      <c r="C26"/>
      <c r="D26"/>
      <c r="E26"/>
      <c r="F26" s="92">
        <f t="shared" si="0"/>
        <v>2045</v>
      </c>
      <c r="G26" s="93">
        <f t="shared" si="1"/>
        <v>19322.445555207189</v>
      </c>
      <c r="H26" s="94">
        <f t="shared" si="7"/>
        <v>2.8346722100213606E-2</v>
      </c>
      <c r="I26" s="92">
        <f>IF(AND(F26&gt;='Inputs &amp; Outputs'!C$12,F26&lt;'Inputs &amp; Outputs'!C$12+'Inputs &amp; Outputs'!C$18),1,0)</f>
        <v>1</v>
      </c>
      <c r="J26" s="95">
        <f>I26*'Inputs &amp; Outputs'!C$15*'Benefit Calculations'!G26*('Benefit Calculations'!C$4-'Benefit Calculations'!C$5)</f>
        <v>60.203080363238421</v>
      </c>
      <c r="K26" s="96">
        <f t="shared" si="3"/>
        <v>2.1974124332582022E-2</v>
      </c>
      <c r="L26" s="97">
        <f>(K26*'Value of Emissions'!$C27)</f>
        <v>483.43073531680449</v>
      </c>
      <c r="M26" s="98">
        <f t="shared" si="4"/>
        <v>246.96967035979881</v>
      </c>
      <c r="N26" s="99">
        <f>I26*'Inputs &amp; Outputs'!C$15*'Benefit Calculations'!G26*('Benefit Calculations'!D$4-'Benefit Calculations'!D$5)</f>
        <v>217.7158532092422</v>
      </c>
      <c r="O26" s="96">
        <f t="shared" si="5"/>
        <v>7.9466286421373405E-2</v>
      </c>
      <c r="P26" s="97">
        <f>(O26*'Value of Emissions'!$D27)</f>
        <v>84949.460184448166</v>
      </c>
      <c r="Q26" s="98">
        <f t="shared" si="6"/>
        <v>43398.02715532211</v>
      </c>
      <c r="T26" s="73"/>
      <c r="U26" s="74"/>
    </row>
    <row r="27" spans="1:21" x14ac:dyDescent="0.3">
      <c r="A27"/>
      <c r="B27"/>
      <c r="C27"/>
      <c r="D27"/>
      <c r="E27"/>
      <c r="F27" s="92">
        <f t="shared" si="0"/>
        <v>2046</v>
      </c>
      <c r="G27" s="93">
        <f t="shared" si="1"/>
        <v>19870.173549657153</v>
      </c>
      <c r="H27" s="94">
        <f t="shared" si="7"/>
        <v>2.8346722100213606E-2</v>
      </c>
      <c r="I27" s="92">
        <f>IF(AND(F27&gt;='Inputs &amp; Outputs'!C$12,F27&lt;'Inputs &amp; Outputs'!C$12+'Inputs &amp; Outputs'!C$18),1,0)</f>
        <v>0</v>
      </c>
      <c r="J27" s="95">
        <f>I27*'Inputs &amp; Outputs'!C$15*'Benefit Calculations'!G27*('Benefit Calculations'!C$4-'Benefit Calculations'!C$5)</f>
        <v>0</v>
      </c>
      <c r="K27" s="96">
        <f t="shared" si="3"/>
        <v>0</v>
      </c>
      <c r="L27" s="97">
        <f>(K27*'Value of Emissions'!$C28)</f>
        <v>0</v>
      </c>
      <c r="M27" s="98">
        <f t="shared" si="4"/>
        <v>0</v>
      </c>
      <c r="N27" s="99">
        <f>I27*'Inputs &amp; Outputs'!C$15*'Benefit Calculations'!G27*('Benefit Calculations'!D$4-'Benefit Calculations'!D$5)</f>
        <v>0</v>
      </c>
      <c r="O27" s="96">
        <f t="shared" si="5"/>
        <v>0</v>
      </c>
      <c r="P27" s="97">
        <f>(O27*'Value of Emissions'!$D28)</f>
        <v>0</v>
      </c>
      <c r="Q27" s="98">
        <f t="shared" si="6"/>
        <v>0</v>
      </c>
      <c r="T27" s="73"/>
      <c r="U27" s="74"/>
    </row>
    <row r="28" spans="1:21" x14ac:dyDescent="0.3">
      <c r="A28"/>
      <c r="B28"/>
      <c r="C28"/>
      <c r="D28"/>
      <c r="E28"/>
      <c r="F28" s="92">
        <f t="shared" si="0"/>
        <v>2047</v>
      </c>
      <c r="G28" s="93">
        <f t="shared" si="1"/>
        <v>20433.427837352298</v>
      </c>
      <c r="H28" s="94">
        <f t="shared" si="7"/>
        <v>2.8346722100213606E-2</v>
      </c>
      <c r="I28" s="92">
        <f>IF(AND(F28&gt;='Inputs &amp; Outputs'!C$12,F28&lt;'Inputs &amp; Outputs'!C$12+'Inputs &amp; Outputs'!C$18),1,0)</f>
        <v>0</v>
      </c>
      <c r="J28" s="95">
        <f>I28*'Inputs &amp; Outputs'!C$15*'Benefit Calculations'!G28*('Benefit Calculations'!C$4-'Benefit Calculations'!C$5)</f>
        <v>0</v>
      </c>
      <c r="K28" s="96">
        <f t="shared" si="3"/>
        <v>0</v>
      </c>
      <c r="L28" s="97">
        <f>(K28*'Value of Emissions'!$C29)</f>
        <v>0</v>
      </c>
      <c r="M28" s="98">
        <f t="shared" si="4"/>
        <v>0</v>
      </c>
      <c r="N28" s="99">
        <f>I28*'Inputs &amp; Outputs'!C$15*'Benefit Calculations'!G28*('Benefit Calculations'!D$4-'Benefit Calculations'!D$5)</f>
        <v>0</v>
      </c>
      <c r="O28" s="96">
        <f t="shared" si="5"/>
        <v>0</v>
      </c>
      <c r="P28" s="97">
        <f>(O28*'Value of Emissions'!$D29)</f>
        <v>0</v>
      </c>
      <c r="Q28" s="98">
        <f t="shared" si="6"/>
        <v>0</v>
      </c>
      <c r="T28" s="73"/>
      <c r="U28" s="74"/>
    </row>
    <row r="29" spans="1:21" x14ac:dyDescent="0.3">
      <c r="A29"/>
      <c r="B29"/>
      <c r="C29"/>
      <c r="D29"/>
      <c r="E29"/>
      <c r="F29" s="92">
        <f t="shared" si="0"/>
        <v>2048</v>
      </c>
      <c r="G29" s="93">
        <f t="shared" si="1"/>
        <v>21012.648537812493</v>
      </c>
      <c r="H29" s="94">
        <f t="shared" si="7"/>
        <v>2.8346722100213606E-2</v>
      </c>
      <c r="I29" s="92">
        <f>IF(AND(F29&gt;='Inputs &amp; Outputs'!C$12,F29&lt;'Inputs &amp; Outputs'!C$12+'Inputs &amp; Outputs'!C$18),1,0)</f>
        <v>0</v>
      </c>
      <c r="J29" s="95">
        <f>I29*'Inputs &amp; Outputs'!C$15*'Benefit Calculations'!G29*('Benefit Calculations'!C$4-'Benefit Calculations'!C$5)</f>
        <v>0</v>
      </c>
      <c r="K29" s="96">
        <f t="shared" si="3"/>
        <v>0</v>
      </c>
      <c r="L29" s="97">
        <f>(K29*'Value of Emissions'!$C30)</f>
        <v>0</v>
      </c>
      <c r="M29" s="98">
        <f t="shared" si="4"/>
        <v>0</v>
      </c>
      <c r="N29" s="99">
        <f>I29*'Inputs &amp; Outputs'!C$15*'Benefit Calculations'!G29*('Benefit Calculations'!D$4-'Benefit Calculations'!D$5)</f>
        <v>0</v>
      </c>
      <c r="O29" s="96">
        <f t="shared" si="5"/>
        <v>0</v>
      </c>
      <c r="P29" s="97">
        <f>(O29*'Value of Emissions'!$D30)</f>
        <v>0</v>
      </c>
      <c r="Q29" s="98">
        <f t="shared" si="6"/>
        <v>0</v>
      </c>
      <c r="T29" s="73"/>
      <c r="U29" s="74"/>
    </row>
    <row r="30" spans="1:21" x14ac:dyDescent="0.3">
      <c r="A30"/>
      <c r="B30"/>
      <c r="C30"/>
      <c r="D30"/>
      <c r="E30"/>
      <c r="F30" s="92">
        <f t="shared" si="0"/>
        <v>2049</v>
      </c>
      <c r="G30" s="93">
        <f t="shared" si="1"/>
        <v>21608.288246503322</v>
      </c>
      <c r="H30" s="94">
        <f t="shared" ref="H30:H34" si="8">$C$10</f>
        <v>2.8346722100213606E-2</v>
      </c>
      <c r="I30" s="92">
        <f>IF(AND(F30&gt;='Inputs &amp; Outputs'!C$12,F30&lt;'Inputs &amp; Outputs'!C$12+'Inputs &amp; Outputs'!C$18),1,0)</f>
        <v>0</v>
      </c>
      <c r="J30" s="95">
        <f>I30*'Inputs &amp; Outputs'!C$15*'Benefit Calculations'!G30*('Benefit Calculations'!C$4-'Benefit Calculations'!C$5)</f>
        <v>0</v>
      </c>
      <c r="K30" s="96">
        <f t="shared" si="3"/>
        <v>0</v>
      </c>
      <c r="L30" s="97">
        <f>(K30*'Value of Emissions'!$C31)</f>
        <v>0</v>
      </c>
      <c r="M30" s="98">
        <f t="shared" si="4"/>
        <v>0</v>
      </c>
      <c r="N30" s="99">
        <f>I30*'Inputs &amp; Outputs'!C$15*'Benefit Calculations'!G30*('Benefit Calculations'!D$4-'Benefit Calculations'!D$5)</f>
        <v>0</v>
      </c>
      <c r="O30" s="96">
        <f t="shared" si="5"/>
        <v>0</v>
      </c>
      <c r="P30" s="97">
        <f>(O30*'Value of Emissions'!$D31)</f>
        <v>0</v>
      </c>
      <c r="Q30" s="98">
        <f t="shared" si="6"/>
        <v>0</v>
      </c>
      <c r="T30" s="73"/>
      <c r="U30" s="74"/>
    </row>
    <row r="31" spans="1:21" x14ac:dyDescent="0.3">
      <c r="A31"/>
      <c r="B31"/>
      <c r="C31"/>
      <c r="D31"/>
      <c r="E31"/>
      <c r="F31" s="92">
        <f t="shared" si="0"/>
        <v>2050</v>
      </c>
      <c r="G31" s="93">
        <f t="shared" si="1"/>
        <v>22220.812388488263</v>
      </c>
      <c r="H31" s="94">
        <f t="shared" si="8"/>
        <v>2.8346722100213606E-2</v>
      </c>
      <c r="I31" s="92">
        <f>IF(AND(F31&gt;='Inputs &amp; Outputs'!C$12,F31&lt;'Inputs &amp; Outputs'!C$12+'Inputs &amp; Outputs'!C$18),1,0)</f>
        <v>0</v>
      </c>
      <c r="J31" s="95">
        <f>I31*'Inputs &amp; Outputs'!C$15*'Benefit Calculations'!G31*('Benefit Calculations'!C$4-'Benefit Calculations'!C$5)</f>
        <v>0</v>
      </c>
      <c r="K31" s="96">
        <f t="shared" si="3"/>
        <v>0</v>
      </c>
      <c r="L31" s="97">
        <f>(K31*'Value of Emissions'!$C32)</f>
        <v>0</v>
      </c>
      <c r="M31" s="98">
        <f t="shared" si="4"/>
        <v>0</v>
      </c>
      <c r="N31" s="99">
        <f>I31*'Inputs &amp; Outputs'!C$15*'Benefit Calculations'!G31*('Benefit Calculations'!D$4-'Benefit Calculations'!D$5)</f>
        <v>0</v>
      </c>
      <c r="O31" s="96">
        <f t="shared" si="5"/>
        <v>0</v>
      </c>
      <c r="P31" s="97">
        <f>(O31*'Value of Emissions'!$D32)</f>
        <v>0</v>
      </c>
      <c r="Q31" s="98">
        <f t="shared" si="6"/>
        <v>0</v>
      </c>
      <c r="T31" s="73"/>
      <c r="U31" s="74"/>
    </row>
    <row r="32" spans="1:21" x14ac:dyDescent="0.3">
      <c r="A32"/>
      <c r="B32"/>
      <c r="C32"/>
      <c r="D32"/>
      <c r="E32"/>
      <c r="F32" s="92">
        <f t="shared" si="0"/>
        <v>2051</v>
      </c>
      <c r="G32" s="93">
        <f t="shared" si="1"/>
        <v>22850.699582105724</v>
      </c>
      <c r="H32" s="94">
        <f t="shared" si="8"/>
        <v>2.8346722100213606E-2</v>
      </c>
      <c r="I32" s="92">
        <f>IF(AND(F32&gt;='Inputs &amp; Outputs'!C$12,F32&lt;'Inputs &amp; Outputs'!C$12+'Inputs &amp; Outputs'!C$18),1,0)</f>
        <v>0</v>
      </c>
      <c r="J32" s="95">
        <f>I32*'Inputs &amp; Outputs'!C$15*'Benefit Calculations'!G32*('Benefit Calculations'!C$4-'Benefit Calculations'!C$5)</f>
        <v>0</v>
      </c>
      <c r="K32" s="96">
        <f t="shared" si="3"/>
        <v>0</v>
      </c>
      <c r="L32" s="97">
        <f>(K32*'Value of Emissions'!$C33)</f>
        <v>0</v>
      </c>
      <c r="M32" s="98">
        <f t="shared" si="4"/>
        <v>0</v>
      </c>
      <c r="N32" s="99">
        <f>I32*'Inputs &amp; Outputs'!C$15*'Benefit Calculations'!G32*('Benefit Calculations'!D$4-'Benefit Calculations'!D$5)</f>
        <v>0</v>
      </c>
      <c r="O32" s="96">
        <f t="shared" si="5"/>
        <v>0</v>
      </c>
      <c r="P32" s="97">
        <f>(O32*'Value of Emissions'!$D33)</f>
        <v>0</v>
      </c>
      <c r="Q32" s="98">
        <f t="shared" si="6"/>
        <v>0</v>
      </c>
      <c r="T32" s="73"/>
      <c r="U32" s="74"/>
    </row>
    <row r="33" spans="1:21" x14ac:dyDescent="0.3">
      <c r="A33"/>
      <c r="B33"/>
      <c r="C33"/>
      <c r="D33"/>
      <c r="E33"/>
      <c r="F33" s="92">
        <f t="shared" si="0"/>
        <v>2052</v>
      </c>
      <c r="G33" s="93">
        <f t="shared" si="1"/>
        <v>23498.442012955144</v>
      </c>
      <c r="H33" s="94">
        <f t="shared" si="8"/>
        <v>2.8346722100213606E-2</v>
      </c>
      <c r="I33" s="92">
        <f>IF(AND(F33&gt;='Inputs &amp; Outputs'!C$12,F33&lt;'Inputs &amp; Outputs'!C$12+'Inputs &amp; Outputs'!C$18),1,0)</f>
        <v>0</v>
      </c>
      <c r="J33" s="95">
        <f>I33*'Inputs &amp; Outputs'!C$15*'Benefit Calculations'!G33*('Benefit Calculations'!C$4-'Benefit Calculations'!C$5)</f>
        <v>0</v>
      </c>
      <c r="K33" s="96">
        <f t="shared" si="3"/>
        <v>0</v>
      </c>
      <c r="L33" s="97">
        <f>(K33*'Value of Emissions'!$C34)</f>
        <v>0</v>
      </c>
      <c r="M33" s="98">
        <f t="shared" si="4"/>
        <v>0</v>
      </c>
      <c r="N33" s="99">
        <f>I33*'Inputs &amp; Outputs'!C$15*'Benefit Calculations'!G33*('Benefit Calculations'!D$4-'Benefit Calculations'!D$5)</f>
        <v>0</v>
      </c>
      <c r="O33" s="96">
        <f t="shared" si="5"/>
        <v>0</v>
      </c>
      <c r="P33" s="97">
        <f>(O33*'Value of Emissions'!$D34)</f>
        <v>0</v>
      </c>
      <c r="Q33" s="98">
        <f t="shared" si="6"/>
        <v>0</v>
      </c>
      <c r="T33" s="73"/>
      <c r="U33" s="74"/>
    </row>
    <row r="34" spans="1:21" x14ac:dyDescent="0.3">
      <c r="A34"/>
      <c r="B34"/>
      <c r="C34"/>
      <c r="D34"/>
      <c r="E34"/>
      <c r="F34" s="92">
        <f t="shared" si="0"/>
        <v>2053</v>
      </c>
      <c r="G34" s="93">
        <f t="shared" si="1"/>
        <v>24164.545818484366</v>
      </c>
      <c r="H34" s="94">
        <f t="shared" si="8"/>
        <v>2.8346722100213606E-2</v>
      </c>
      <c r="I34" s="92">
        <f>IF(AND(F34&gt;='Inputs &amp; Outputs'!C$12,F34&lt;'Inputs &amp; Outputs'!C$12+'Inputs &amp; Outputs'!C$18),1,0)</f>
        <v>0</v>
      </c>
      <c r="J34" s="95">
        <f>I34*'Inputs &amp; Outputs'!C$15*'Benefit Calculations'!G34*('Benefit Calculations'!C$4-'Benefit Calculations'!C$5)</f>
        <v>0</v>
      </c>
      <c r="K34" s="96">
        <f t="shared" si="3"/>
        <v>0</v>
      </c>
      <c r="L34" s="97">
        <f>(K34*'Value of Emissions'!$C35)</f>
        <v>0</v>
      </c>
      <c r="M34" s="98">
        <f t="shared" si="4"/>
        <v>0</v>
      </c>
      <c r="N34" s="99">
        <f>I34*'Inputs &amp; Outputs'!C$15*'Benefit Calculations'!G34*('Benefit Calculations'!D$4-'Benefit Calculations'!D$5)</f>
        <v>0</v>
      </c>
      <c r="O34" s="96">
        <f t="shared" si="5"/>
        <v>0</v>
      </c>
      <c r="P34" s="97">
        <f>(O34*'Value of Emissions'!$D35)</f>
        <v>0</v>
      </c>
      <c r="Q34" s="98">
        <f t="shared" si="6"/>
        <v>0</v>
      </c>
      <c r="T34" s="73"/>
      <c r="U34" s="74"/>
    </row>
    <row r="35" spans="1:21" x14ac:dyDescent="0.3">
      <c r="A35"/>
      <c r="B35"/>
      <c r="C35"/>
      <c r="D35"/>
      <c r="E35"/>
      <c r="F35" s="92" t="s">
        <v>93</v>
      </c>
      <c r="G35" s="92"/>
      <c r="H35" s="92"/>
      <c r="I35" s="92"/>
      <c r="J35" s="95">
        <f t="shared" ref="J35:Q35" si="9">SUM(J4:J34)</f>
        <v>935.29694380402361</v>
      </c>
      <c r="K35" s="95">
        <f t="shared" si="9"/>
        <v>0.34138338448846861</v>
      </c>
      <c r="L35" s="104">
        <f t="shared" si="9"/>
        <v>7484.1153981083307</v>
      </c>
      <c r="M35" s="105">
        <f t="shared" si="9"/>
        <v>5038.8205335546754</v>
      </c>
      <c r="N35" s="99">
        <f t="shared" si="9"/>
        <v>3382.3679933930898</v>
      </c>
      <c r="O35" s="99">
        <f>SUM(O4:O34)</f>
        <v>1.2345643175884775</v>
      </c>
      <c r="P35" s="106">
        <f t="shared" si="9"/>
        <v>1314277.8022886524</v>
      </c>
      <c r="Q35" s="105">
        <f t="shared" si="9"/>
        <v>884678.22863730066</v>
      </c>
      <c r="T35" s="73"/>
      <c r="U35" s="74"/>
    </row>
    <row r="36" spans="1:21" x14ac:dyDescent="0.3">
      <c r="A36"/>
      <c r="B36"/>
      <c r="C36"/>
      <c r="D36"/>
      <c r="E36"/>
      <c r="F36" s="78"/>
      <c r="G36" s="78"/>
      <c r="H36" s="78"/>
      <c r="I36" s="78"/>
      <c r="J36"/>
      <c r="K36"/>
      <c r="L36" s="79"/>
      <c r="M36" s="79"/>
      <c r="N36"/>
      <c r="O36"/>
      <c r="P36" s="79"/>
      <c r="Q36" s="79"/>
      <c r="T36" s="73"/>
      <c r="U36" s="74"/>
    </row>
    <row r="37" spans="1:21" x14ac:dyDescent="0.3">
      <c r="O37" s="76"/>
      <c r="T37" s="73"/>
      <c r="U37" s="74"/>
    </row>
    <row r="40" spans="1:21" x14ac:dyDescent="0.3">
      <c r="U40" s="77"/>
    </row>
  </sheetData>
  <sheetProtection algorithmName="SHA-512" hashValue="RQmL/pI5YSkqNXUksYc5vN5nWBYJdbalatnfeDxBhD1diZNTinXuCLQd/8u05LTJF3o/4ETqpLGErN/QrqXAhg==" saltValue="JDgQgAyULtmFr1aWxuJ1bg=="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7355-0431-4A23-9D22-DC421902D3AD}">
  <sheetPr>
    <tabColor theme="1"/>
  </sheetPr>
  <dimension ref="B1:F36"/>
  <sheetViews>
    <sheetView workbookViewId="0">
      <selection activeCell="I11" sqref="I11"/>
    </sheetView>
  </sheetViews>
  <sheetFormatPr defaultRowHeight="14.4" x14ac:dyDescent="0.3"/>
  <cols>
    <col min="1" max="1" width="2.88671875" customWidth="1"/>
    <col min="2" max="6" width="15.6640625" customWidth="1"/>
  </cols>
  <sheetData>
    <row r="1" spans="2:6" x14ac:dyDescent="0.3">
      <c r="B1" s="2" t="s">
        <v>137</v>
      </c>
    </row>
    <row r="2" spans="2:6" ht="15" thickBot="1" x14ac:dyDescent="0.35">
      <c r="B2" s="2"/>
    </row>
    <row r="3" spans="2:6" x14ac:dyDescent="0.3">
      <c r="B3" s="117" t="s">
        <v>3</v>
      </c>
      <c r="C3" s="118" t="s">
        <v>94</v>
      </c>
      <c r="D3" s="118" t="s">
        <v>95</v>
      </c>
      <c r="E3" s="118" t="s">
        <v>96</v>
      </c>
      <c r="F3" s="119" t="s">
        <v>97</v>
      </c>
    </row>
    <row r="4" spans="2:6" x14ac:dyDescent="0.3">
      <c r="B4" s="120">
        <v>2023</v>
      </c>
      <c r="C4" s="121">
        <v>19800</v>
      </c>
      <c r="D4" s="121">
        <v>951000</v>
      </c>
      <c r="E4" s="121">
        <v>52900</v>
      </c>
      <c r="F4" s="122">
        <v>228</v>
      </c>
    </row>
    <row r="5" spans="2:6" x14ac:dyDescent="0.3">
      <c r="B5" s="120">
        <v>2024</v>
      </c>
      <c r="C5" s="121">
        <v>20100</v>
      </c>
      <c r="D5" s="121">
        <v>963200</v>
      </c>
      <c r="E5" s="121">
        <v>53800</v>
      </c>
      <c r="F5" s="122">
        <v>233</v>
      </c>
    </row>
    <row r="6" spans="2:6" x14ac:dyDescent="0.3">
      <c r="B6" s="120">
        <v>2025</v>
      </c>
      <c r="C6" s="121">
        <v>20300</v>
      </c>
      <c r="D6" s="121">
        <v>975500</v>
      </c>
      <c r="E6" s="121">
        <v>54800</v>
      </c>
      <c r="F6" s="122">
        <v>237</v>
      </c>
    </row>
    <row r="7" spans="2:6" x14ac:dyDescent="0.3">
      <c r="B7" s="120">
        <v>2026</v>
      </c>
      <c r="C7" s="121">
        <v>20600</v>
      </c>
      <c r="D7" s="121">
        <v>993500</v>
      </c>
      <c r="E7" s="121">
        <v>56100</v>
      </c>
      <c r="F7" s="122">
        <v>241</v>
      </c>
    </row>
    <row r="8" spans="2:6" x14ac:dyDescent="0.3">
      <c r="B8" s="120">
        <v>2027</v>
      </c>
      <c r="C8" s="121">
        <v>21000</v>
      </c>
      <c r="D8" s="121">
        <v>1011900</v>
      </c>
      <c r="E8" s="121">
        <v>57400</v>
      </c>
      <c r="F8" s="122">
        <v>245</v>
      </c>
    </row>
    <row r="9" spans="2:6" x14ac:dyDescent="0.3">
      <c r="B9" s="120">
        <v>2028</v>
      </c>
      <c r="C9" s="121">
        <v>21300</v>
      </c>
      <c r="D9" s="121">
        <v>1030600</v>
      </c>
      <c r="E9" s="121">
        <v>58700</v>
      </c>
      <c r="F9" s="122">
        <v>250</v>
      </c>
    </row>
    <row r="10" spans="2:6" x14ac:dyDescent="0.3">
      <c r="B10" s="120">
        <v>2029</v>
      </c>
      <c r="C10" s="121">
        <v>21700</v>
      </c>
      <c r="D10" s="121">
        <v>1049600</v>
      </c>
      <c r="E10" s="121">
        <v>60100</v>
      </c>
      <c r="F10" s="122">
        <v>253</v>
      </c>
    </row>
    <row r="11" spans="2:6" x14ac:dyDescent="0.3">
      <c r="B11" s="120">
        <v>2030</v>
      </c>
      <c r="C11" s="121">
        <v>22000</v>
      </c>
      <c r="D11" s="121">
        <v>1069000</v>
      </c>
      <c r="E11" s="121">
        <v>61500</v>
      </c>
      <c r="F11" s="122">
        <v>257</v>
      </c>
    </row>
    <row r="12" spans="2:6" x14ac:dyDescent="0.3">
      <c r="B12" s="120">
        <v>2031</v>
      </c>
      <c r="C12" s="121">
        <v>22000</v>
      </c>
      <c r="D12" s="121">
        <v>1069000</v>
      </c>
      <c r="E12" s="121">
        <v>61500</v>
      </c>
      <c r="F12" s="122">
        <v>262</v>
      </c>
    </row>
    <row r="13" spans="2:6" x14ac:dyDescent="0.3">
      <c r="B13" s="120">
        <v>2032</v>
      </c>
      <c r="C13" s="121">
        <v>22000</v>
      </c>
      <c r="D13" s="121">
        <v>1069000</v>
      </c>
      <c r="E13" s="121">
        <v>61500</v>
      </c>
      <c r="F13" s="122">
        <v>265</v>
      </c>
    </row>
    <row r="14" spans="2:6" x14ac:dyDescent="0.3">
      <c r="B14" s="120">
        <v>2033</v>
      </c>
      <c r="C14" s="121">
        <v>22000</v>
      </c>
      <c r="D14" s="121">
        <v>1069000</v>
      </c>
      <c r="E14" s="121">
        <v>61500</v>
      </c>
      <c r="F14" s="122">
        <v>270</v>
      </c>
    </row>
    <row r="15" spans="2:6" x14ac:dyDescent="0.3">
      <c r="B15" s="120">
        <v>2034</v>
      </c>
      <c r="C15" s="121">
        <v>22000</v>
      </c>
      <c r="D15" s="121">
        <v>1069000</v>
      </c>
      <c r="E15" s="121">
        <v>61500</v>
      </c>
      <c r="F15" s="122">
        <v>274</v>
      </c>
    </row>
    <row r="16" spans="2:6" x14ac:dyDescent="0.3">
      <c r="B16" s="120">
        <v>2035</v>
      </c>
      <c r="C16" s="121">
        <v>22000</v>
      </c>
      <c r="D16" s="121">
        <v>1069000</v>
      </c>
      <c r="E16" s="121">
        <v>61500</v>
      </c>
      <c r="F16" s="122">
        <v>278</v>
      </c>
    </row>
    <row r="17" spans="2:6" x14ac:dyDescent="0.3">
      <c r="B17" s="120">
        <v>2036</v>
      </c>
      <c r="C17" s="121">
        <v>22000</v>
      </c>
      <c r="D17" s="121">
        <v>1069000</v>
      </c>
      <c r="E17" s="121">
        <v>61500</v>
      </c>
      <c r="F17" s="122">
        <v>282</v>
      </c>
    </row>
    <row r="18" spans="2:6" x14ac:dyDescent="0.3">
      <c r="B18" s="120">
        <v>2037</v>
      </c>
      <c r="C18" s="121">
        <v>22000</v>
      </c>
      <c r="D18" s="121">
        <v>1069000</v>
      </c>
      <c r="E18" s="121">
        <v>61500</v>
      </c>
      <c r="F18" s="122">
        <v>287</v>
      </c>
    </row>
    <row r="19" spans="2:6" x14ac:dyDescent="0.3">
      <c r="B19" s="120">
        <v>2038</v>
      </c>
      <c r="C19" s="121">
        <v>22000</v>
      </c>
      <c r="D19" s="121">
        <v>1069000</v>
      </c>
      <c r="E19" s="121">
        <v>61500</v>
      </c>
      <c r="F19" s="122">
        <v>290</v>
      </c>
    </row>
    <row r="20" spans="2:6" x14ac:dyDescent="0.3">
      <c r="B20" s="120">
        <v>2039</v>
      </c>
      <c r="C20" s="121">
        <v>22000</v>
      </c>
      <c r="D20" s="121">
        <v>1069000</v>
      </c>
      <c r="E20" s="121">
        <v>61500</v>
      </c>
      <c r="F20" s="122">
        <v>294</v>
      </c>
    </row>
    <row r="21" spans="2:6" x14ac:dyDescent="0.3">
      <c r="B21" s="120">
        <v>2040</v>
      </c>
      <c r="C21" s="121">
        <v>22000</v>
      </c>
      <c r="D21" s="121">
        <v>1069000</v>
      </c>
      <c r="E21" s="121">
        <v>61500</v>
      </c>
      <c r="F21" s="122">
        <v>299</v>
      </c>
    </row>
    <row r="22" spans="2:6" x14ac:dyDescent="0.3">
      <c r="B22" s="120">
        <v>2041</v>
      </c>
      <c r="C22" s="121">
        <v>22000</v>
      </c>
      <c r="D22" s="121">
        <v>1069000</v>
      </c>
      <c r="E22" s="121">
        <v>61500</v>
      </c>
      <c r="F22" s="122">
        <v>303</v>
      </c>
    </row>
    <row r="23" spans="2:6" x14ac:dyDescent="0.3">
      <c r="B23" s="120">
        <v>2042</v>
      </c>
      <c r="C23" s="121">
        <v>22000</v>
      </c>
      <c r="D23" s="121">
        <v>1069000</v>
      </c>
      <c r="E23" s="121">
        <v>61500</v>
      </c>
      <c r="F23" s="122">
        <v>308</v>
      </c>
    </row>
    <row r="24" spans="2:6" x14ac:dyDescent="0.3">
      <c r="B24" s="120">
        <v>2043</v>
      </c>
      <c r="C24" s="121">
        <v>22000</v>
      </c>
      <c r="D24" s="121">
        <v>1069000</v>
      </c>
      <c r="E24" s="121">
        <v>61500</v>
      </c>
      <c r="F24" s="122">
        <v>312</v>
      </c>
    </row>
    <row r="25" spans="2:6" x14ac:dyDescent="0.3">
      <c r="B25" s="120">
        <v>2044</v>
      </c>
      <c r="C25" s="121">
        <v>22000</v>
      </c>
      <c r="D25" s="121">
        <v>1069000</v>
      </c>
      <c r="E25" s="121">
        <v>61500</v>
      </c>
      <c r="F25" s="122">
        <v>317</v>
      </c>
    </row>
    <row r="26" spans="2:6" x14ac:dyDescent="0.3">
      <c r="B26" s="120">
        <v>2045</v>
      </c>
      <c r="C26" s="121">
        <v>22000</v>
      </c>
      <c r="D26" s="121">
        <v>1069000</v>
      </c>
      <c r="E26" s="121">
        <v>61500</v>
      </c>
      <c r="F26" s="122">
        <v>321</v>
      </c>
    </row>
    <row r="27" spans="2:6" x14ac:dyDescent="0.3">
      <c r="B27" s="120">
        <v>2046</v>
      </c>
      <c r="C27" s="121">
        <v>22000</v>
      </c>
      <c r="D27" s="121">
        <v>1069000</v>
      </c>
      <c r="E27" s="121">
        <v>61500</v>
      </c>
      <c r="F27" s="122">
        <v>326</v>
      </c>
    </row>
    <row r="28" spans="2:6" x14ac:dyDescent="0.3">
      <c r="B28" s="120">
        <v>2047</v>
      </c>
      <c r="C28" s="121">
        <v>22000</v>
      </c>
      <c r="D28" s="121">
        <v>1069000</v>
      </c>
      <c r="E28" s="121">
        <v>61500</v>
      </c>
      <c r="F28" s="122">
        <v>331</v>
      </c>
    </row>
    <row r="29" spans="2:6" x14ac:dyDescent="0.3">
      <c r="B29" s="120">
        <v>2048</v>
      </c>
      <c r="C29" s="121">
        <v>22000</v>
      </c>
      <c r="D29" s="121">
        <v>1069000</v>
      </c>
      <c r="E29" s="121">
        <v>61500</v>
      </c>
      <c r="F29" s="122">
        <v>336</v>
      </c>
    </row>
    <row r="30" spans="2:6" x14ac:dyDescent="0.3">
      <c r="B30" s="120">
        <v>2049</v>
      </c>
      <c r="C30" s="121">
        <v>22000</v>
      </c>
      <c r="D30" s="121">
        <v>1069000</v>
      </c>
      <c r="E30" s="121">
        <v>61500</v>
      </c>
      <c r="F30" s="122">
        <v>340</v>
      </c>
    </row>
    <row r="31" spans="2:6" x14ac:dyDescent="0.3">
      <c r="B31" s="120">
        <v>2050</v>
      </c>
      <c r="C31" s="121">
        <v>22000</v>
      </c>
      <c r="D31" s="121">
        <v>1069000</v>
      </c>
      <c r="E31" s="121">
        <v>61500</v>
      </c>
      <c r="F31" s="122">
        <v>345</v>
      </c>
    </row>
    <row r="32" spans="2:6" x14ac:dyDescent="0.3">
      <c r="B32" s="120">
        <v>2051</v>
      </c>
      <c r="C32" s="121">
        <v>22000</v>
      </c>
      <c r="D32" s="121">
        <v>1069000</v>
      </c>
      <c r="E32" s="121">
        <v>61500</v>
      </c>
      <c r="F32" s="122">
        <v>349</v>
      </c>
    </row>
    <row r="33" spans="2:6" x14ac:dyDescent="0.3">
      <c r="B33" s="120">
        <v>2052</v>
      </c>
      <c r="C33" s="121">
        <v>22000</v>
      </c>
      <c r="D33" s="121">
        <v>1069000</v>
      </c>
      <c r="E33" s="121">
        <v>61500</v>
      </c>
      <c r="F33" s="122">
        <v>353</v>
      </c>
    </row>
    <row r="34" spans="2:6" x14ac:dyDescent="0.3">
      <c r="B34" s="123">
        <v>2053</v>
      </c>
      <c r="C34" s="124">
        <v>22000</v>
      </c>
      <c r="D34" s="124">
        <v>1069000</v>
      </c>
      <c r="E34" s="124">
        <v>61500</v>
      </c>
      <c r="F34" s="125">
        <v>357</v>
      </c>
    </row>
    <row r="36" spans="2:6" x14ac:dyDescent="0.3">
      <c r="B36" s="43" t="s">
        <v>138</v>
      </c>
    </row>
  </sheetData>
  <sheetProtection algorithmName="SHA-512" hashValue="ARqZ2/XeybxQgZB2zoIJiI1CCW4H77FI69r/2ExP/AMvkNDDXmP8ca7F54BL+6y9fbk7yVTAwDho64GcN4dZNQ==" saltValue="KqCcyVrZwARjvztYdAlKjQ==" spinCount="100000" sheet="1" selectLockedCells="1" selectUnlockedCells="1"/>
  <hyperlinks>
    <hyperlink ref="B36" r:id="rId1" xr:uid="{66300AB5-3C56-4F5F-94CE-DF0BD0415F6A}"/>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N37"/>
  <sheetViews>
    <sheetView workbookViewId="0">
      <selection activeCell="L21" sqref="L21"/>
    </sheetView>
  </sheetViews>
  <sheetFormatPr defaultRowHeight="14.4" x14ac:dyDescent="0.3"/>
  <cols>
    <col min="1" max="1" width="13.44140625" bestFit="1" customWidth="1"/>
    <col min="3" max="3" width="12" style="42" bestFit="1" customWidth="1"/>
    <col min="4" max="10" width="12.5546875" style="35" bestFit="1" customWidth="1"/>
    <col min="11" max="11" width="12.109375" bestFit="1" customWidth="1"/>
    <col min="12" max="12" width="13.88671875" customWidth="1"/>
  </cols>
  <sheetData>
    <row r="1" spans="1:14" x14ac:dyDescent="0.3">
      <c r="A1" s="129" t="s">
        <v>98</v>
      </c>
      <c r="B1" s="129"/>
      <c r="C1" s="129"/>
      <c r="D1" s="129"/>
      <c r="E1" s="129"/>
      <c r="F1" s="129"/>
      <c r="G1" s="129"/>
      <c r="H1" s="129"/>
      <c r="I1" s="129"/>
      <c r="J1" s="129"/>
    </row>
    <row r="2" spans="1:14" x14ac:dyDescent="0.3">
      <c r="A2" s="37" t="s">
        <v>99</v>
      </c>
      <c r="B2" s="37" t="s">
        <v>100</v>
      </c>
      <c r="C2" s="41" t="s">
        <v>101</v>
      </c>
      <c r="D2" s="39" t="s">
        <v>102</v>
      </c>
      <c r="E2" s="39" t="s">
        <v>54</v>
      </c>
      <c r="F2" s="39" t="s">
        <v>103</v>
      </c>
      <c r="G2" s="39" t="s">
        <v>104</v>
      </c>
      <c r="H2" s="39" t="s">
        <v>105</v>
      </c>
      <c r="I2" s="39" t="s">
        <v>106</v>
      </c>
      <c r="J2" s="39" t="s">
        <v>107</v>
      </c>
    </row>
    <row r="3" spans="1:14" x14ac:dyDescent="0.3">
      <c r="A3" s="38" t="s">
        <v>108</v>
      </c>
      <c r="B3" s="40">
        <v>0</v>
      </c>
      <c r="C3">
        <v>7.9709209501700004E-2</v>
      </c>
      <c r="D3">
        <v>7.8904151916500007E-2</v>
      </c>
      <c r="E3">
        <v>6.9295577704899997E-2</v>
      </c>
      <c r="F3">
        <v>8.5180975496799996E-2</v>
      </c>
      <c r="G3">
        <v>8.0917865037899994E-2</v>
      </c>
      <c r="H3">
        <v>0.10159566253420001</v>
      </c>
      <c r="I3">
        <v>7.6598629355400003E-2</v>
      </c>
      <c r="J3">
        <v>0.1183910742402</v>
      </c>
    </row>
    <row r="4" spans="1:14" x14ac:dyDescent="0.3">
      <c r="A4" s="38" t="s">
        <v>108</v>
      </c>
      <c r="B4" s="40">
        <v>2.5</v>
      </c>
      <c r="C4">
        <v>4.2469557374699998E-2</v>
      </c>
      <c r="D4">
        <v>4.4206574559199997E-2</v>
      </c>
      <c r="E4">
        <v>3.7188958376600002E-2</v>
      </c>
      <c r="F4">
        <v>4.5288585126400001E-2</v>
      </c>
      <c r="G4">
        <v>4.4272050261500002E-2</v>
      </c>
      <c r="H4">
        <v>5.6698806583900002E-2</v>
      </c>
      <c r="I4">
        <v>4.1071366518699998E-2</v>
      </c>
      <c r="J4">
        <v>6.2287945300299997E-2</v>
      </c>
      <c r="L4" s="37" t="s">
        <v>109</v>
      </c>
      <c r="N4" t="s">
        <v>110</v>
      </c>
    </row>
    <row r="5" spans="1:14" x14ac:dyDescent="0.3">
      <c r="A5" s="38" t="s">
        <v>108</v>
      </c>
      <c r="B5" s="40">
        <v>7.5</v>
      </c>
      <c r="C5">
        <v>3.5555165260999999E-2</v>
      </c>
      <c r="D5">
        <v>3.6660213023400001E-2</v>
      </c>
      <c r="E5">
        <v>3.0976282432700002E-2</v>
      </c>
      <c r="F5">
        <v>3.80969084799E-2</v>
      </c>
      <c r="G5">
        <v>3.6911688744999997E-2</v>
      </c>
      <c r="H5">
        <v>4.6993508934999997E-2</v>
      </c>
      <c r="I5">
        <v>3.4454382956E-2</v>
      </c>
      <c r="J5">
        <v>5.2223745733499999E-2</v>
      </c>
      <c r="L5" s="38" t="s">
        <v>60</v>
      </c>
    </row>
    <row r="6" spans="1:14" x14ac:dyDescent="0.3">
      <c r="A6" s="38" t="s">
        <v>108</v>
      </c>
      <c r="B6" s="40">
        <v>12.5</v>
      </c>
      <c r="C6">
        <v>3.0004667118200001E-2</v>
      </c>
      <c r="D6">
        <v>3.10046225786E-2</v>
      </c>
      <c r="E6">
        <v>2.61170510203E-2</v>
      </c>
      <c r="F6">
        <v>3.2208394259200003E-2</v>
      </c>
      <c r="G6">
        <v>3.1148841604599999E-2</v>
      </c>
      <c r="H6">
        <v>3.9677754044499997E-2</v>
      </c>
      <c r="I6">
        <v>2.9134875163399999E-2</v>
      </c>
      <c r="J6">
        <v>4.4046685099599997E-2</v>
      </c>
      <c r="L6" s="38" t="s">
        <v>108</v>
      </c>
    </row>
    <row r="7" spans="1:14" x14ac:dyDescent="0.3">
      <c r="A7" s="38" t="s">
        <v>108</v>
      </c>
      <c r="B7" s="40">
        <v>17.5</v>
      </c>
      <c r="C7">
        <v>5.8355703949900001E-2</v>
      </c>
      <c r="D7">
        <v>5.8792792260600003E-2</v>
      </c>
      <c r="E7">
        <v>5.0836332142399999E-2</v>
      </c>
      <c r="F7">
        <v>6.2344025820499999E-2</v>
      </c>
      <c r="G7">
        <v>5.9778928756700003E-2</v>
      </c>
      <c r="H7">
        <v>7.5595639646099999E-2</v>
      </c>
      <c r="I7">
        <v>5.6203253567199997E-2</v>
      </c>
      <c r="J7">
        <v>8.6286403238800005E-2</v>
      </c>
    </row>
    <row r="8" spans="1:14" x14ac:dyDescent="0.3">
      <c r="A8" s="38" t="s">
        <v>108</v>
      </c>
      <c r="B8" s="40">
        <v>22.5</v>
      </c>
      <c r="C8">
        <v>2.9907993972300002E-2</v>
      </c>
      <c r="D8">
        <v>3.0968880280899998E-2</v>
      </c>
      <c r="E8">
        <v>2.60649044067E-2</v>
      </c>
      <c r="F8">
        <v>3.20664942265E-2</v>
      </c>
      <c r="G8">
        <v>3.10763735324E-2</v>
      </c>
      <c r="H8">
        <v>3.9639711379999998E-2</v>
      </c>
      <c r="I8">
        <v>2.90167797357E-2</v>
      </c>
      <c r="J8">
        <v>4.3891649693299999E-2</v>
      </c>
    </row>
    <row r="9" spans="1:14" x14ac:dyDescent="0.3">
      <c r="A9" s="38" t="s">
        <v>108</v>
      </c>
      <c r="B9" s="40">
        <v>27.5</v>
      </c>
      <c r="C9">
        <v>3.02238687873E-2</v>
      </c>
      <c r="D9">
        <v>3.1341902911699998E-2</v>
      </c>
      <c r="E9">
        <v>2.63668429106E-2</v>
      </c>
      <c r="F9">
        <v>3.23709845543E-2</v>
      </c>
      <c r="G9">
        <v>3.1425006687600003E-2</v>
      </c>
      <c r="H9">
        <v>4.0128763765100002E-2</v>
      </c>
      <c r="I9">
        <v>2.9300080612300002E-2</v>
      </c>
      <c r="J9">
        <v>4.4346142560200003E-2</v>
      </c>
    </row>
    <row r="10" spans="1:14" x14ac:dyDescent="0.3">
      <c r="A10" s="38" t="s">
        <v>108</v>
      </c>
      <c r="B10" s="40">
        <v>32.5</v>
      </c>
      <c r="C10">
        <v>3.1313531100700003E-2</v>
      </c>
      <c r="D10">
        <v>3.2513536512900003E-2</v>
      </c>
      <c r="E10">
        <v>2.7351612225199998E-2</v>
      </c>
      <c r="F10">
        <v>3.3488668501399997E-2</v>
      </c>
      <c r="G10">
        <v>3.3316731452899997E-2</v>
      </c>
      <c r="H10">
        <v>4.1655413806399998E-2</v>
      </c>
      <c r="I10">
        <v>3.03197260946E-2</v>
      </c>
      <c r="J10">
        <v>4.59374375641E-2</v>
      </c>
    </row>
    <row r="11" spans="1:14" x14ac:dyDescent="0.3">
      <c r="A11" s="38" t="s">
        <v>108</v>
      </c>
      <c r="B11" s="40">
        <v>37.5</v>
      </c>
      <c r="C11">
        <v>3.2214779406800002E-2</v>
      </c>
      <c r="D11">
        <v>3.3480282872900002E-2</v>
      </c>
      <c r="E11">
        <v>2.8165008872700001E-2</v>
      </c>
      <c r="F11">
        <v>3.4414406865800003E-2</v>
      </c>
      <c r="G11">
        <v>3.4333176910900001E-2</v>
      </c>
      <c r="H11">
        <v>4.2914863675799997E-2</v>
      </c>
      <c r="I11">
        <v>3.1163943931500002E-2</v>
      </c>
      <c r="J11">
        <v>4.7254089266100002E-2</v>
      </c>
    </row>
    <row r="12" spans="1:14" x14ac:dyDescent="0.3">
      <c r="A12" s="38" t="s">
        <v>108</v>
      </c>
      <c r="B12" s="40">
        <v>42.5</v>
      </c>
      <c r="C12">
        <v>3.2915763557000002E-2</v>
      </c>
      <c r="D12">
        <v>3.4232180565599998E-2</v>
      </c>
      <c r="E12">
        <v>2.8797626495399999E-2</v>
      </c>
      <c r="F12">
        <v>3.5134430974700002E-2</v>
      </c>
      <c r="G12">
        <v>3.48193310201E-2</v>
      </c>
      <c r="H12">
        <v>4.3894432485099999E-2</v>
      </c>
      <c r="I12">
        <v>3.2890614122199999E-2</v>
      </c>
      <c r="J12">
        <v>4.8278134316199997E-2</v>
      </c>
    </row>
    <row r="13" spans="1:14" x14ac:dyDescent="0.3">
      <c r="A13" s="38" t="s">
        <v>108</v>
      </c>
      <c r="B13" s="40">
        <v>47.5</v>
      </c>
      <c r="C13">
        <v>3.3057164400799997E-2</v>
      </c>
      <c r="D13">
        <v>3.4387767314900002E-2</v>
      </c>
      <c r="E13">
        <v>2.8927274048299999E-2</v>
      </c>
      <c r="F13">
        <v>3.5278931260099997E-2</v>
      </c>
      <c r="G13">
        <v>3.4790404140899997E-2</v>
      </c>
      <c r="H13">
        <v>4.4092979282100001E-2</v>
      </c>
      <c r="I13">
        <v>3.2712884247299998E-2</v>
      </c>
      <c r="J13">
        <v>4.8485517501800003E-2</v>
      </c>
    </row>
    <row r="14" spans="1:14" x14ac:dyDescent="0.3">
      <c r="A14" s="38" t="s">
        <v>108</v>
      </c>
      <c r="B14" s="40">
        <v>52.5</v>
      </c>
      <c r="C14">
        <v>3.3061299473000003E-2</v>
      </c>
      <c r="D14">
        <v>3.4396469593000002E-2</v>
      </c>
      <c r="E14">
        <v>2.8933193534599999E-2</v>
      </c>
      <c r="F14">
        <v>3.5282365977799997E-2</v>
      </c>
      <c r="G14">
        <v>3.4914650023000003E-2</v>
      </c>
      <c r="H14">
        <v>4.4099733233499999E-2</v>
      </c>
      <c r="I14">
        <v>3.1640805304100003E-2</v>
      </c>
      <c r="J14">
        <v>4.84923869371E-2</v>
      </c>
    </row>
    <row r="15" spans="1:14" x14ac:dyDescent="0.3">
      <c r="A15" s="38" t="s">
        <v>108</v>
      </c>
      <c r="B15" s="40">
        <v>57.5</v>
      </c>
      <c r="C15">
        <v>3.3468522131400003E-2</v>
      </c>
      <c r="D15">
        <v>3.4821990877399997E-2</v>
      </c>
      <c r="E15">
        <v>2.93842889369E-2</v>
      </c>
      <c r="F15">
        <v>3.5704966634499999E-2</v>
      </c>
      <c r="G15">
        <v>3.5005718469600003E-2</v>
      </c>
      <c r="H15">
        <v>4.4646963477100003E-2</v>
      </c>
      <c r="I15">
        <v>3.2569732517000002E-2</v>
      </c>
      <c r="J15">
        <v>4.9082379788200001E-2</v>
      </c>
    </row>
    <row r="16" spans="1:14" x14ac:dyDescent="0.3">
      <c r="A16" s="38" t="s">
        <v>108</v>
      </c>
      <c r="B16" s="40">
        <v>62.5</v>
      </c>
      <c r="C16">
        <v>3.5352446138899998E-2</v>
      </c>
      <c r="D16">
        <v>3.6693319678300002E-2</v>
      </c>
      <c r="E16">
        <v>3.0862009152800001E-2</v>
      </c>
      <c r="F16">
        <v>3.76117639244E-2</v>
      </c>
      <c r="G16">
        <v>3.6655429750699998E-2</v>
      </c>
      <c r="H16">
        <v>4.7059323638700003E-2</v>
      </c>
      <c r="I16">
        <v>3.4025806933600002E-2</v>
      </c>
      <c r="J16">
        <v>5.1699556410300003E-2</v>
      </c>
    </row>
    <row r="17" spans="1:10" x14ac:dyDescent="0.3">
      <c r="A17" s="38" t="s">
        <v>108</v>
      </c>
      <c r="B17" s="40">
        <v>67.5</v>
      </c>
      <c r="C17">
        <v>3.8389321416600002E-2</v>
      </c>
      <c r="D17">
        <v>3.9963655173800003E-2</v>
      </c>
      <c r="E17">
        <v>3.3629041165100002E-2</v>
      </c>
      <c r="F17">
        <v>4.0957715362300001E-2</v>
      </c>
      <c r="G17">
        <v>4.0014449506999998E-2</v>
      </c>
      <c r="H17">
        <v>5.1274303346900002E-2</v>
      </c>
      <c r="I17">
        <v>3.7135571241400003E-2</v>
      </c>
      <c r="J17">
        <v>5.6340388953699999E-2</v>
      </c>
    </row>
    <row r="18" spans="1:10" x14ac:dyDescent="0.3">
      <c r="A18" s="38" t="s">
        <v>108</v>
      </c>
      <c r="B18" s="40">
        <v>72.5</v>
      </c>
      <c r="C18">
        <v>4.50588949025E-2</v>
      </c>
      <c r="D18">
        <v>4.6068053692600003E-2</v>
      </c>
      <c r="E18">
        <v>3.9295911788899997E-2</v>
      </c>
      <c r="F18">
        <v>4.8165507614599999E-2</v>
      </c>
      <c r="G18">
        <v>4.6514462679600001E-2</v>
      </c>
      <c r="H18">
        <v>5.9148460626600001E-2</v>
      </c>
      <c r="I18">
        <v>4.3511807918499998E-2</v>
      </c>
      <c r="J18">
        <v>6.6361419856500001E-2</v>
      </c>
    </row>
    <row r="20" spans="1:10" x14ac:dyDescent="0.3">
      <c r="A20" s="129" t="s">
        <v>98</v>
      </c>
      <c r="B20" s="129"/>
      <c r="C20" s="129"/>
      <c r="D20" s="129"/>
      <c r="E20" s="129"/>
      <c r="F20" s="129"/>
      <c r="G20" s="129"/>
      <c r="H20" s="129"/>
      <c r="I20" s="129"/>
      <c r="J20" s="129"/>
    </row>
    <row r="21" spans="1:10" x14ac:dyDescent="0.3">
      <c r="A21" s="37" t="s">
        <v>99</v>
      </c>
      <c r="B21" s="37" t="s">
        <v>100</v>
      </c>
      <c r="C21" s="41" t="s">
        <v>101</v>
      </c>
      <c r="D21" s="39" t="s">
        <v>102</v>
      </c>
      <c r="E21" s="39" t="s">
        <v>54</v>
      </c>
      <c r="F21" s="39" t="s">
        <v>103</v>
      </c>
      <c r="G21" s="39" t="s">
        <v>104</v>
      </c>
      <c r="H21" s="39" t="s">
        <v>105</v>
      </c>
      <c r="I21" s="39" t="s">
        <v>106</v>
      </c>
      <c r="J21" s="39" t="s">
        <v>107</v>
      </c>
    </row>
    <row r="22" spans="1:10" x14ac:dyDescent="0.3">
      <c r="A22" s="38" t="s">
        <v>60</v>
      </c>
      <c r="B22" s="40">
        <v>0</v>
      </c>
      <c r="C22">
        <v>7.9709209501700004E-2</v>
      </c>
      <c r="D22">
        <v>7.8904114663600006E-2</v>
      </c>
      <c r="E22">
        <v>6.92955628037E-2</v>
      </c>
      <c r="F22">
        <v>8.5180975496799996E-2</v>
      </c>
      <c r="G22">
        <v>8.0917797982700004E-2</v>
      </c>
      <c r="H22">
        <v>0.1015956774354</v>
      </c>
      <c r="I22">
        <v>7.6598614454299996E-2</v>
      </c>
      <c r="J22">
        <v>0.1183910742402</v>
      </c>
    </row>
    <row r="23" spans="1:10" x14ac:dyDescent="0.3">
      <c r="A23" s="38" t="s">
        <v>60</v>
      </c>
      <c r="B23" s="40">
        <v>2.5</v>
      </c>
      <c r="C23">
        <v>4.2469523847100003E-2</v>
      </c>
      <c r="D23">
        <v>4.4206574559199997E-2</v>
      </c>
      <c r="E23">
        <v>3.7201248109299999E-2</v>
      </c>
      <c r="F23">
        <v>4.5288600027599997E-2</v>
      </c>
      <c r="G23">
        <v>4.4272050261500002E-2</v>
      </c>
      <c r="H23">
        <v>5.66987879574E-2</v>
      </c>
      <c r="I23">
        <v>4.1071366518699998E-2</v>
      </c>
      <c r="J23">
        <v>6.2287978828000003E-2</v>
      </c>
    </row>
    <row r="24" spans="1:10" x14ac:dyDescent="0.3">
      <c r="A24" s="38" t="s">
        <v>60</v>
      </c>
      <c r="B24" s="40">
        <v>7.5</v>
      </c>
      <c r="C24">
        <v>4.3386276811399997E-2</v>
      </c>
      <c r="D24">
        <v>4.4668316841100002E-2</v>
      </c>
      <c r="E24">
        <v>3.7818614393499997E-2</v>
      </c>
      <c r="F24">
        <v>4.6490438282499998E-2</v>
      </c>
      <c r="G24">
        <v>4.4996704906200002E-2</v>
      </c>
      <c r="H24">
        <v>5.7243946939700002E-2</v>
      </c>
      <c r="I24">
        <v>4.2194124311200003E-2</v>
      </c>
      <c r="J24">
        <v>6.3799820840400007E-2</v>
      </c>
    </row>
    <row r="25" spans="1:10" x14ac:dyDescent="0.3">
      <c r="A25" s="38" t="s">
        <v>60</v>
      </c>
      <c r="B25" s="40">
        <v>12.5</v>
      </c>
      <c r="C25">
        <v>4.1231390088800002E-2</v>
      </c>
      <c r="D25">
        <v>4.26243059337E-2</v>
      </c>
      <c r="E25">
        <v>3.5951599478699997E-2</v>
      </c>
      <c r="F25">
        <v>4.4190917164100001E-2</v>
      </c>
      <c r="G25">
        <v>4.2852584272599997E-2</v>
      </c>
      <c r="H25">
        <v>5.4562348872400003E-2</v>
      </c>
      <c r="I25">
        <v>4.0065769106099998E-2</v>
      </c>
      <c r="J25">
        <v>6.05730563402E-2</v>
      </c>
    </row>
    <row r="26" spans="1:10" x14ac:dyDescent="0.3">
      <c r="A26" s="38" t="s">
        <v>60</v>
      </c>
      <c r="B26" s="40">
        <v>17.5</v>
      </c>
      <c r="C26">
        <v>5.7910330593599998E-2</v>
      </c>
      <c r="D26">
        <v>5.8362636715199999E-2</v>
      </c>
      <c r="E26">
        <v>5.03999106586E-2</v>
      </c>
      <c r="F26">
        <v>6.1958283186000003E-2</v>
      </c>
      <c r="G26">
        <v>5.9329502284499999E-2</v>
      </c>
      <c r="H26">
        <v>7.4966326355900004E-2</v>
      </c>
      <c r="I26">
        <v>5.5853683501500002E-2</v>
      </c>
      <c r="J26">
        <v>8.5614524781699994E-2</v>
      </c>
    </row>
    <row r="27" spans="1:10" x14ac:dyDescent="0.3">
      <c r="A27" s="38" t="s">
        <v>60</v>
      </c>
      <c r="B27" s="40">
        <v>22.5</v>
      </c>
      <c r="C27">
        <v>3.9257124066400001E-2</v>
      </c>
      <c r="D27">
        <v>4.0652059018600001E-2</v>
      </c>
      <c r="E27">
        <v>3.4244447946500001E-2</v>
      </c>
      <c r="F27">
        <v>4.2083520442199998E-2</v>
      </c>
      <c r="G27">
        <v>4.0840815752700002E-2</v>
      </c>
      <c r="H27">
        <v>5.2029088139500003E-2</v>
      </c>
      <c r="I27">
        <v>3.81413288414E-2</v>
      </c>
      <c r="J27">
        <v>5.7648696005300003E-2</v>
      </c>
    </row>
    <row r="28" spans="1:10" x14ac:dyDescent="0.3">
      <c r="A28" s="38" t="s">
        <v>60</v>
      </c>
      <c r="B28" s="40">
        <v>27.5</v>
      </c>
      <c r="C28">
        <v>3.5227932035900002E-2</v>
      </c>
      <c r="D28">
        <v>3.6515135317999999E-2</v>
      </c>
      <c r="E28">
        <v>3.07166818529E-2</v>
      </c>
      <c r="F28">
        <v>3.7752732634499998E-2</v>
      </c>
      <c r="G28">
        <v>3.66222187877E-2</v>
      </c>
      <c r="H28">
        <v>4.6724498271899999E-2</v>
      </c>
      <c r="I28">
        <v>3.4187663346500002E-2</v>
      </c>
      <c r="J28">
        <v>5.1712572574599998E-2</v>
      </c>
    </row>
    <row r="29" spans="1:10" x14ac:dyDescent="0.3">
      <c r="A29" s="38" t="s">
        <v>60</v>
      </c>
      <c r="B29" s="40">
        <v>32.5</v>
      </c>
      <c r="C29">
        <v>3.36339212954E-2</v>
      </c>
      <c r="D29">
        <v>3.4911878406999997E-2</v>
      </c>
      <c r="E29">
        <v>2.93653514236E-2</v>
      </c>
      <c r="F29">
        <v>3.60104031861E-2</v>
      </c>
      <c r="G29">
        <v>3.4991860389700001E-2</v>
      </c>
      <c r="H29">
        <v>4.4688086956699999E-2</v>
      </c>
      <c r="I29">
        <v>3.2622620463399997E-2</v>
      </c>
      <c r="J29">
        <v>4.9370080232599999E-2</v>
      </c>
    </row>
    <row r="30" spans="1:10" x14ac:dyDescent="0.3">
      <c r="A30" s="38" t="s">
        <v>60</v>
      </c>
      <c r="B30" s="40">
        <v>37.5</v>
      </c>
      <c r="C30">
        <v>3.27882580459E-2</v>
      </c>
      <c r="D30">
        <v>3.4374210983499999E-2</v>
      </c>
      <c r="E30">
        <v>2.8639543801500002E-2</v>
      </c>
      <c r="F30">
        <v>3.5045284777899997E-2</v>
      </c>
      <c r="G30">
        <v>3.41720841825E-2</v>
      </c>
      <c r="H30">
        <v>4.39856164157E-2</v>
      </c>
      <c r="I30">
        <v>3.1794819980900002E-2</v>
      </c>
      <c r="J30">
        <v>4.8103537410499997E-2</v>
      </c>
    </row>
    <row r="31" spans="1:10" x14ac:dyDescent="0.3">
      <c r="A31" s="38" t="s">
        <v>60</v>
      </c>
      <c r="B31" s="40">
        <v>42.5</v>
      </c>
      <c r="C31">
        <v>3.2569069415300002E-2</v>
      </c>
      <c r="D31">
        <v>3.3696841448499999E-2</v>
      </c>
      <c r="E31">
        <v>2.8494181111500001E-2</v>
      </c>
      <c r="F31">
        <v>3.4877907484799998E-2</v>
      </c>
      <c r="G31">
        <v>3.3852331340300003E-2</v>
      </c>
      <c r="H31">
        <v>4.3236359953900003E-2</v>
      </c>
      <c r="I31">
        <v>3.15391048789E-2</v>
      </c>
      <c r="J31">
        <v>4.7752235084799997E-2</v>
      </c>
    </row>
    <row r="32" spans="1:10" x14ac:dyDescent="0.3">
      <c r="A32" s="38" t="s">
        <v>60</v>
      </c>
      <c r="B32" s="40">
        <v>47.5</v>
      </c>
      <c r="C32">
        <v>3.3075693994800003E-2</v>
      </c>
      <c r="D32">
        <v>3.44197936356E-2</v>
      </c>
      <c r="E32">
        <v>2.8920862823699999E-2</v>
      </c>
      <c r="F32">
        <v>3.5316374152900003E-2</v>
      </c>
      <c r="G32">
        <v>3.4387338906500003E-2</v>
      </c>
      <c r="H32">
        <v>4.4108875095799999E-2</v>
      </c>
      <c r="I32">
        <v>3.1966596841799998E-2</v>
      </c>
      <c r="J32">
        <v>4.8545762896499998E-2</v>
      </c>
    </row>
    <row r="33" spans="1:10" x14ac:dyDescent="0.3">
      <c r="A33" s="38" t="s">
        <v>60</v>
      </c>
      <c r="B33" s="40">
        <v>52.5</v>
      </c>
      <c r="C33">
        <v>3.3750448375900001E-2</v>
      </c>
      <c r="D33">
        <v>3.5110909491799999E-2</v>
      </c>
      <c r="E33">
        <v>2.9547912999999999E-2</v>
      </c>
      <c r="F33">
        <v>3.6022249609200002E-2</v>
      </c>
      <c r="G33">
        <v>3.5480238497299997E-2</v>
      </c>
      <c r="H33">
        <v>4.5018933713400003E-2</v>
      </c>
      <c r="I33">
        <v>3.26566807926E-2</v>
      </c>
      <c r="J33">
        <v>4.9504462629600003E-2</v>
      </c>
    </row>
    <row r="34" spans="1:10" x14ac:dyDescent="0.3">
      <c r="A34" s="38" t="s">
        <v>60</v>
      </c>
      <c r="B34" s="40">
        <v>57.5</v>
      </c>
      <c r="C34">
        <v>3.4581881016499998E-2</v>
      </c>
      <c r="D34">
        <v>3.5991001874199999E-2</v>
      </c>
      <c r="E34">
        <v>3.0277365818600001E-2</v>
      </c>
      <c r="F34">
        <v>3.6884400993599999E-2</v>
      </c>
      <c r="G34">
        <v>3.5643253475399997E-2</v>
      </c>
      <c r="H34">
        <v>4.6157341450500003E-2</v>
      </c>
      <c r="I34">
        <v>3.3448658883599998E-2</v>
      </c>
      <c r="J34">
        <v>5.0720669329199997E-2</v>
      </c>
    </row>
    <row r="35" spans="1:10" x14ac:dyDescent="0.3">
      <c r="A35" s="38" t="s">
        <v>60</v>
      </c>
      <c r="B35" s="40">
        <v>62.5</v>
      </c>
      <c r="C35">
        <v>3.5903498530400001E-2</v>
      </c>
      <c r="D35">
        <v>3.73747684062E-2</v>
      </c>
      <c r="E35">
        <v>3.1440760940300003E-2</v>
      </c>
      <c r="F35">
        <v>3.8293443620199999E-2</v>
      </c>
      <c r="G35">
        <v>3.7387639284100001E-2</v>
      </c>
      <c r="H35">
        <v>4.7937151044600002E-2</v>
      </c>
      <c r="I35">
        <v>3.47202531993E-2</v>
      </c>
      <c r="J35">
        <v>5.2657235413799998E-2</v>
      </c>
    </row>
    <row r="36" spans="1:10" x14ac:dyDescent="0.3">
      <c r="A36" s="38" t="s">
        <v>60</v>
      </c>
      <c r="B36" s="40">
        <v>67.5</v>
      </c>
      <c r="C36">
        <v>3.8603831082600001E-2</v>
      </c>
      <c r="D36">
        <v>4.0181506425100003E-2</v>
      </c>
      <c r="E36">
        <v>3.38131785393E-2</v>
      </c>
      <c r="F36">
        <v>4.1169561445699998E-2</v>
      </c>
      <c r="G36">
        <v>4.0241330861999998E-2</v>
      </c>
      <c r="H36">
        <v>5.1533348858399997E-2</v>
      </c>
      <c r="I36">
        <v>3.72925810516E-2</v>
      </c>
      <c r="J36">
        <v>5.66187351942E-2</v>
      </c>
    </row>
    <row r="37" spans="1:10" x14ac:dyDescent="0.3">
      <c r="A37" s="38" t="s">
        <v>60</v>
      </c>
      <c r="B37" s="40">
        <v>72.5</v>
      </c>
      <c r="C37">
        <v>4.7010879963599997E-2</v>
      </c>
      <c r="D37">
        <v>4.80918735266E-2</v>
      </c>
      <c r="E37">
        <v>4.09520417452E-2</v>
      </c>
      <c r="F37">
        <v>5.0346929579999998E-2</v>
      </c>
      <c r="G37">
        <v>4.8628326505399999E-2</v>
      </c>
      <c r="H37">
        <v>6.1651676893200003E-2</v>
      </c>
      <c r="I37">
        <v>4.5481212437199998E-2</v>
      </c>
      <c r="J37">
        <v>6.9226212799500003E-2</v>
      </c>
    </row>
  </sheetData>
  <sheetProtection algorithmName="SHA-512" hashValue="dfoo3hEKdkxoyDQ9MfHcxwwh55fn9/XoxQrYwcgPFPnM+YCRV+9ePuFJsRyNOgS1nEnEzgKBkW220ghXNYmoDw==" saltValue="scS2R7U+G/6t9klLAntaMg==" spinCount="100000" sheet="1" objects="1" scenarios="1"/>
  <mergeCells count="2">
    <mergeCell ref="A1:J1"/>
    <mergeCell ref="A20: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N37"/>
  <sheetViews>
    <sheetView workbookViewId="0">
      <selection activeCell="L26" sqref="L26"/>
    </sheetView>
  </sheetViews>
  <sheetFormatPr defaultRowHeight="14.4" x14ac:dyDescent="0.3"/>
  <cols>
    <col min="1" max="1" width="13.44140625" bestFit="1" customWidth="1"/>
    <col min="3" max="9" width="12.33203125" style="35" bestFit="1" customWidth="1"/>
    <col min="10" max="10" width="11.5546875" style="35" bestFit="1" customWidth="1"/>
    <col min="12" max="12" width="17" customWidth="1"/>
  </cols>
  <sheetData>
    <row r="1" spans="1:14" x14ac:dyDescent="0.3">
      <c r="A1" s="129" t="s">
        <v>98</v>
      </c>
      <c r="B1" s="129"/>
      <c r="C1" s="129"/>
      <c r="D1" s="129"/>
      <c r="E1" s="129"/>
      <c r="F1" s="129"/>
      <c r="G1" s="129"/>
      <c r="H1" s="129"/>
      <c r="I1" s="129"/>
      <c r="J1" s="129"/>
    </row>
    <row r="2" spans="1:14" s="1" customFormat="1" x14ac:dyDescent="0.3">
      <c r="A2" s="37" t="s">
        <v>99</v>
      </c>
      <c r="B2" s="37" t="s">
        <v>100</v>
      </c>
      <c r="C2" s="39" t="s">
        <v>101</v>
      </c>
      <c r="D2" s="39" t="s">
        <v>102</v>
      </c>
      <c r="E2" s="39" t="s">
        <v>54</v>
      </c>
      <c r="F2" s="39" t="s">
        <v>103</v>
      </c>
      <c r="G2" s="39" t="s">
        <v>104</v>
      </c>
      <c r="H2" s="39" t="s">
        <v>105</v>
      </c>
      <c r="I2" s="39" t="s">
        <v>106</v>
      </c>
      <c r="J2" s="39" t="s">
        <v>107</v>
      </c>
    </row>
    <row r="3" spans="1:14" x14ac:dyDescent="0.3">
      <c r="A3" s="38" t="s">
        <v>108</v>
      </c>
      <c r="B3" s="38">
        <v>0</v>
      </c>
      <c r="C3">
        <v>0.26444002985949999</v>
      </c>
      <c r="D3">
        <v>0.26285380125050001</v>
      </c>
      <c r="E3">
        <v>0.23511123657229999</v>
      </c>
      <c r="F3">
        <v>0.27366432547570002</v>
      </c>
      <c r="G3">
        <v>0.27394947409629999</v>
      </c>
      <c r="H3">
        <v>0.34403359889980001</v>
      </c>
      <c r="I3">
        <v>0.24836917221550001</v>
      </c>
      <c r="J3">
        <v>0.36253178119660001</v>
      </c>
    </row>
    <row r="4" spans="1:14" x14ac:dyDescent="0.3">
      <c r="A4" s="38" t="s">
        <v>108</v>
      </c>
      <c r="B4" s="38">
        <v>2.5</v>
      </c>
      <c r="C4">
        <v>1.9378149882000002E-2</v>
      </c>
      <c r="D4">
        <v>2.05497387797E-2</v>
      </c>
      <c r="E4">
        <v>1.7676644027200001E-2</v>
      </c>
      <c r="F4">
        <v>2.0050631836100001E-2</v>
      </c>
      <c r="G4">
        <v>1.97393223643E-2</v>
      </c>
      <c r="H4">
        <v>2.5481635704599999E-2</v>
      </c>
      <c r="I4">
        <v>1.8406104296400001E-2</v>
      </c>
      <c r="J4">
        <v>2.6999378576900001E-2</v>
      </c>
      <c r="L4" s="37" t="s">
        <v>109</v>
      </c>
      <c r="N4" t="s">
        <v>110</v>
      </c>
    </row>
    <row r="5" spans="1:14" x14ac:dyDescent="0.3">
      <c r="A5" s="38" t="s">
        <v>108</v>
      </c>
      <c r="B5" s="38">
        <v>7.5</v>
      </c>
      <c r="C5">
        <v>5.6928962469100002E-2</v>
      </c>
      <c r="D5">
        <v>5.8089599013299999E-2</v>
      </c>
      <c r="E5">
        <v>5.1016949117199999E-2</v>
      </c>
      <c r="F5">
        <v>5.9138320386400003E-2</v>
      </c>
      <c r="G5">
        <v>5.85514754057E-2</v>
      </c>
      <c r="H5">
        <v>7.4183821678199993E-2</v>
      </c>
      <c r="I5">
        <v>5.3868472576100002E-2</v>
      </c>
      <c r="J5">
        <v>7.8625060617900006E-2</v>
      </c>
      <c r="L5" s="38" t="s">
        <v>60</v>
      </c>
    </row>
    <row r="6" spans="1:14" x14ac:dyDescent="0.3">
      <c r="A6" s="38" t="s">
        <v>108</v>
      </c>
      <c r="B6" s="38">
        <v>12.5</v>
      </c>
      <c r="C6">
        <v>4.4230651110399997E-2</v>
      </c>
      <c r="D6">
        <v>4.5232560485600003E-2</v>
      </c>
      <c r="E6">
        <v>3.9670396596200003E-2</v>
      </c>
      <c r="F6">
        <v>4.5975521206900002E-2</v>
      </c>
      <c r="G6">
        <v>4.5419082045600002E-2</v>
      </c>
      <c r="H6">
        <v>5.7592302560800002E-2</v>
      </c>
      <c r="I6">
        <v>4.1887991130400003E-2</v>
      </c>
      <c r="J6">
        <v>6.1163496226099998E-2</v>
      </c>
      <c r="L6" s="38" t="s">
        <v>108</v>
      </c>
    </row>
    <row r="7" spans="1:14" x14ac:dyDescent="0.3">
      <c r="A7" s="38" t="s">
        <v>108</v>
      </c>
      <c r="B7" s="38">
        <v>17.5</v>
      </c>
      <c r="C7">
        <v>0.14095672965049999</v>
      </c>
      <c r="D7">
        <v>0.14116948842999999</v>
      </c>
      <c r="E7">
        <v>0.12562420964240001</v>
      </c>
      <c r="F7">
        <v>0.1459715217352</v>
      </c>
      <c r="G7">
        <v>0.14575409889220001</v>
      </c>
      <c r="H7">
        <v>0.18356017768380001</v>
      </c>
      <c r="I7">
        <v>0.13262930512429999</v>
      </c>
      <c r="J7">
        <v>0.1936027854681</v>
      </c>
    </row>
    <row r="8" spans="1:14" x14ac:dyDescent="0.3">
      <c r="A8" s="38" t="s">
        <v>108</v>
      </c>
      <c r="B8" s="38">
        <v>22.5</v>
      </c>
      <c r="C8">
        <v>3.7092108279499998E-2</v>
      </c>
      <c r="D8">
        <v>3.8085203617799997E-2</v>
      </c>
      <c r="E8">
        <v>3.3320073038300001E-2</v>
      </c>
      <c r="F8">
        <v>3.8556490093499998E-2</v>
      </c>
      <c r="G8">
        <v>3.8047570735200001E-2</v>
      </c>
      <c r="H8">
        <v>4.8328638076799997E-2</v>
      </c>
      <c r="I8">
        <v>3.51522564888E-2</v>
      </c>
      <c r="J8">
        <v>5.1344487816100001E-2</v>
      </c>
    </row>
    <row r="9" spans="1:14" x14ac:dyDescent="0.3">
      <c r="A9" s="38" t="s">
        <v>108</v>
      </c>
      <c r="B9" s="38">
        <v>27.5</v>
      </c>
      <c r="C9">
        <v>3.2416179776200003E-2</v>
      </c>
      <c r="D9">
        <v>3.34166437387E-2</v>
      </c>
      <c r="E9">
        <v>2.91645731777E-2</v>
      </c>
      <c r="F9">
        <v>3.3695057034500001E-2</v>
      </c>
      <c r="G9">
        <v>3.3218760043399999E-2</v>
      </c>
      <c r="H9">
        <v>4.2268890887500001E-2</v>
      </c>
      <c r="I9">
        <v>3.0741125345200002E-2</v>
      </c>
      <c r="J9">
        <v>4.4913459569200002E-2</v>
      </c>
    </row>
    <row r="10" spans="1:14" x14ac:dyDescent="0.3">
      <c r="A10" s="38" t="s">
        <v>108</v>
      </c>
      <c r="B10" s="38">
        <v>32.5</v>
      </c>
      <c r="C10">
        <v>2.8590237721799999E-2</v>
      </c>
      <c r="D10">
        <v>2.9546791687600001E-2</v>
      </c>
      <c r="E10">
        <v>2.5756765157000001E-2</v>
      </c>
      <c r="F10">
        <v>2.9699835926299999E-2</v>
      </c>
      <c r="G10">
        <v>2.9513323679599999E-2</v>
      </c>
      <c r="H10">
        <v>3.7314224988200001E-2</v>
      </c>
      <c r="I10">
        <v>2.71111037582E-2</v>
      </c>
      <c r="J10">
        <v>3.96293140948E-2</v>
      </c>
    </row>
    <row r="11" spans="1:14" x14ac:dyDescent="0.3">
      <c r="A11" s="38" t="s">
        <v>108</v>
      </c>
      <c r="B11" s="38">
        <v>37.5</v>
      </c>
      <c r="C11">
        <v>2.5673521682599999E-2</v>
      </c>
      <c r="D11">
        <v>2.65923757106E-2</v>
      </c>
      <c r="E11">
        <v>2.3158140480500002E-2</v>
      </c>
      <c r="F11">
        <v>2.6652656495599999E-2</v>
      </c>
      <c r="G11">
        <v>2.6508042588800001E-2</v>
      </c>
      <c r="H11">
        <v>3.3537365496199997E-2</v>
      </c>
      <c r="I11">
        <v>2.4342000484500002E-2</v>
      </c>
      <c r="J11">
        <v>3.5599034279599998E-2</v>
      </c>
    </row>
    <row r="12" spans="1:14" x14ac:dyDescent="0.3">
      <c r="A12" s="38" t="s">
        <v>108</v>
      </c>
      <c r="B12" s="38">
        <v>42.5</v>
      </c>
      <c r="C12">
        <v>2.3404967039799999E-2</v>
      </c>
      <c r="D12">
        <v>2.42944415659E-2</v>
      </c>
      <c r="E12">
        <v>2.1137006580800002E-2</v>
      </c>
      <c r="F12">
        <v>2.42826025933E-2</v>
      </c>
      <c r="G12">
        <v>2.4084549397199999E-2</v>
      </c>
      <c r="H12">
        <v>3.0599815770999999E-2</v>
      </c>
      <c r="I12">
        <v>2.25277859718E-2</v>
      </c>
      <c r="J12">
        <v>3.2464392483200002E-2</v>
      </c>
    </row>
    <row r="13" spans="1:14" x14ac:dyDescent="0.3">
      <c r="A13" s="38" t="s">
        <v>108</v>
      </c>
      <c r="B13" s="38">
        <v>47.5</v>
      </c>
      <c r="C13">
        <v>2.1647341549400002E-2</v>
      </c>
      <c r="D13">
        <v>2.2515993565299999E-2</v>
      </c>
      <c r="E13">
        <v>1.9570097327200001E-2</v>
      </c>
      <c r="F13">
        <v>2.2450512275100001E-2</v>
      </c>
      <c r="G13">
        <v>2.2227477282299998E-2</v>
      </c>
      <c r="H13">
        <v>2.83189062029E-2</v>
      </c>
      <c r="I13">
        <v>2.0725170150399999E-2</v>
      </c>
      <c r="J13">
        <v>3.0039444565799999E-2</v>
      </c>
    </row>
    <row r="14" spans="1:14" x14ac:dyDescent="0.3">
      <c r="A14" s="38" t="s">
        <v>108</v>
      </c>
      <c r="B14" s="38">
        <v>52.5</v>
      </c>
      <c r="C14">
        <v>2.02244985849E-2</v>
      </c>
      <c r="D14">
        <v>2.10768338293E-2</v>
      </c>
      <c r="E14">
        <v>1.8301356583799999E-2</v>
      </c>
      <c r="F14">
        <v>2.09685321897E-2</v>
      </c>
      <c r="G14">
        <v>2.07775235176E-2</v>
      </c>
      <c r="H14">
        <v>2.6471124961999999E-2</v>
      </c>
      <c r="I14">
        <v>1.9095173105600001E-2</v>
      </c>
      <c r="J14">
        <v>2.8077403083399999E-2</v>
      </c>
    </row>
    <row r="15" spans="1:14" x14ac:dyDescent="0.3">
      <c r="A15" s="38" t="s">
        <v>108</v>
      </c>
      <c r="B15" s="38">
        <v>57.5</v>
      </c>
      <c r="C15">
        <v>1.9077233970199999E-2</v>
      </c>
      <c r="D15">
        <v>1.9920147955400001E-2</v>
      </c>
      <c r="E15">
        <v>1.7330931499600001E-2</v>
      </c>
      <c r="F15">
        <v>1.9767826422999998E-2</v>
      </c>
      <c r="G15">
        <v>1.9521960988599998E-2</v>
      </c>
      <c r="H15">
        <v>2.4983169510999999E-2</v>
      </c>
      <c r="I15">
        <v>1.8140075728299999E-2</v>
      </c>
      <c r="J15">
        <v>2.6491895317999999E-2</v>
      </c>
    </row>
    <row r="16" spans="1:14" x14ac:dyDescent="0.3">
      <c r="A16" s="38" t="s">
        <v>108</v>
      </c>
      <c r="B16" s="38">
        <v>62.5</v>
      </c>
      <c r="C16">
        <v>1.8370348960200001E-2</v>
      </c>
      <c r="D16">
        <v>1.9192947074800001E-2</v>
      </c>
      <c r="E16">
        <v>1.6622176393899998E-2</v>
      </c>
      <c r="F16">
        <v>1.8976580351599999E-2</v>
      </c>
      <c r="G16">
        <v>1.8701864406499999E-2</v>
      </c>
      <c r="H16">
        <v>2.4026473984099999E-2</v>
      </c>
      <c r="I16">
        <v>1.7360815778399999E-2</v>
      </c>
      <c r="J16">
        <v>2.54564620554E-2</v>
      </c>
    </row>
    <row r="17" spans="1:10" x14ac:dyDescent="0.3">
      <c r="A17" s="38" t="s">
        <v>108</v>
      </c>
      <c r="B17" s="38">
        <v>67.5</v>
      </c>
      <c r="C17">
        <v>1.85038559139E-2</v>
      </c>
      <c r="D17">
        <v>1.9493922591199999E-2</v>
      </c>
      <c r="E17">
        <v>1.6839325427999999E-2</v>
      </c>
      <c r="F17">
        <v>1.9153682514999999E-2</v>
      </c>
      <c r="G17">
        <v>1.8881380558E-2</v>
      </c>
      <c r="H17">
        <v>2.4306194856799999E-2</v>
      </c>
      <c r="I17">
        <v>1.7560200765700001E-2</v>
      </c>
      <c r="J17">
        <v>2.5752136483799998E-2</v>
      </c>
    </row>
    <row r="18" spans="1:10" x14ac:dyDescent="0.3">
      <c r="A18" s="38" t="s">
        <v>108</v>
      </c>
      <c r="B18" s="38">
        <v>72.5</v>
      </c>
      <c r="C18">
        <v>7.8693151473999995E-2</v>
      </c>
      <c r="D18">
        <v>7.9728715121700003E-2</v>
      </c>
      <c r="E18">
        <v>7.0386394858399995E-2</v>
      </c>
      <c r="F18">
        <v>8.1603705883000005E-2</v>
      </c>
      <c r="G18">
        <v>8.1120662391199999E-2</v>
      </c>
      <c r="H18">
        <v>0.10259097069500001</v>
      </c>
      <c r="I18">
        <v>7.42696747184E-2</v>
      </c>
      <c r="J18">
        <v>0.1084168106318</v>
      </c>
    </row>
    <row r="20" spans="1:10" x14ac:dyDescent="0.3">
      <c r="A20" s="129" t="s">
        <v>98</v>
      </c>
      <c r="B20" s="129"/>
      <c r="C20" s="129"/>
      <c r="D20" s="129"/>
      <c r="E20" s="129"/>
      <c r="F20" s="129"/>
      <c r="G20" s="129"/>
      <c r="H20" s="129"/>
      <c r="I20" s="129"/>
      <c r="J20" s="129"/>
    </row>
    <row r="21" spans="1:10" s="1" customFormat="1" x14ac:dyDescent="0.3">
      <c r="A21" s="37" t="s">
        <v>99</v>
      </c>
      <c r="B21" s="37" t="s">
        <v>100</v>
      </c>
      <c r="C21" s="39" t="s">
        <v>101</v>
      </c>
      <c r="D21" s="39" t="s">
        <v>102</v>
      </c>
      <c r="E21" s="39" t="s">
        <v>54</v>
      </c>
      <c r="F21" s="39" t="s">
        <v>103</v>
      </c>
      <c r="G21" s="39" t="s">
        <v>104</v>
      </c>
      <c r="H21" s="39" t="s">
        <v>105</v>
      </c>
      <c r="I21" s="39" t="s">
        <v>106</v>
      </c>
      <c r="J21" s="39" t="s">
        <v>107</v>
      </c>
    </row>
    <row r="22" spans="1:10" x14ac:dyDescent="0.3">
      <c r="A22" s="38" t="s">
        <v>60</v>
      </c>
      <c r="B22" s="38">
        <v>0</v>
      </c>
      <c r="C22">
        <v>0.26444011926650002</v>
      </c>
      <c r="D22">
        <v>0.2628540694714</v>
      </c>
      <c r="E22">
        <v>0.2351109683514</v>
      </c>
      <c r="F22">
        <v>0.27366435527799998</v>
      </c>
      <c r="G22">
        <v>0.27394896745679997</v>
      </c>
      <c r="H22">
        <v>0.34403336048130001</v>
      </c>
      <c r="I22">
        <v>0.24836939573290001</v>
      </c>
      <c r="J22">
        <v>0.36253210902209998</v>
      </c>
    </row>
    <row r="23" spans="1:10" x14ac:dyDescent="0.3">
      <c r="A23" s="38" t="s">
        <v>60</v>
      </c>
      <c r="B23" s="38">
        <v>2.5</v>
      </c>
      <c r="C23">
        <v>1.9378159195200001E-2</v>
      </c>
      <c r="D23">
        <v>2.05497387797E-2</v>
      </c>
      <c r="E23">
        <v>1.7681267112499999E-2</v>
      </c>
      <c r="F23">
        <v>2.0050633698699999E-2</v>
      </c>
      <c r="G23">
        <v>1.97393167764E-2</v>
      </c>
      <c r="H23">
        <v>2.5481630116699999E-2</v>
      </c>
      <c r="I23">
        <v>1.8406093120600001E-2</v>
      </c>
      <c r="J23">
        <v>2.6999369263600002E-2</v>
      </c>
    </row>
    <row r="24" spans="1:10" x14ac:dyDescent="0.3">
      <c r="A24" s="38" t="s">
        <v>60</v>
      </c>
      <c r="B24" s="38">
        <v>7.5</v>
      </c>
      <c r="C24">
        <v>5.8480665087700001E-2</v>
      </c>
      <c r="D24">
        <v>5.9795513749099999E-2</v>
      </c>
      <c r="E24">
        <v>5.2471309900300002E-2</v>
      </c>
      <c r="F24">
        <v>6.0731705278200002E-2</v>
      </c>
      <c r="G24">
        <v>6.0103241354199997E-2</v>
      </c>
      <c r="H24">
        <v>7.6237604022E-2</v>
      </c>
      <c r="I24">
        <v>5.54231144488E-2</v>
      </c>
      <c r="J24">
        <v>8.0834597349199996E-2</v>
      </c>
    </row>
    <row r="25" spans="1:10" x14ac:dyDescent="0.3">
      <c r="A25" s="38" t="s">
        <v>60</v>
      </c>
      <c r="B25" s="38">
        <v>12.5</v>
      </c>
      <c r="C25">
        <v>4.7797035425899997E-2</v>
      </c>
      <c r="D25">
        <v>4.9216337502000003E-2</v>
      </c>
      <c r="E25">
        <v>4.2984921485200001E-2</v>
      </c>
      <c r="F25">
        <v>4.9681510776300002E-2</v>
      </c>
      <c r="G25">
        <v>4.9026809632799997E-2</v>
      </c>
      <c r="H25">
        <v>6.2340460717699997E-2</v>
      </c>
      <c r="I25">
        <v>4.5357584953300001E-2</v>
      </c>
      <c r="J25">
        <v>6.6197916865299994E-2</v>
      </c>
    </row>
    <row r="26" spans="1:10" x14ac:dyDescent="0.3">
      <c r="A26" s="38" t="s">
        <v>60</v>
      </c>
      <c r="B26" s="38">
        <v>17.5</v>
      </c>
      <c r="C26">
        <v>0.14085912704469999</v>
      </c>
      <c r="D26">
        <v>0.14101886749270001</v>
      </c>
      <c r="E26">
        <v>0.12551739811900001</v>
      </c>
      <c r="F26">
        <v>0.1459016501904</v>
      </c>
      <c r="G26">
        <v>0.1456297934055</v>
      </c>
      <c r="H26">
        <v>0.1833496242762</v>
      </c>
      <c r="I26">
        <v>0.13255074620250001</v>
      </c>
      <c r="J26">
        <v>0.19349585473540001</v>
      </c>
    </row>
    <row r="27" spans="1:10" x14ac:dyDescent="0.3">
      <c r="A27" s="38" t="s">
        <v>60</v>
      </c>
      <c r="B27" s="38">
        <v>22.5</v>
      </c>
      <c r="C27">
        <v>4.0611382573800002E-2</v>
      </c>
      <c r="D27">
        <v>4.20035682619E-2</v>
      </c>
      <c r="E27">
        <v>3.6584451794600001E-2</v>
      </c>
      <c r="F27">
        <v>4.2241793125899998E-2</v>
      </c>
      <c r="G27">
        <v>4.1601713746800002E-2</v>
      </c>
      <c r="H27">
        <v>5.2986633032599997E-2</v>
      </c>
      <c r="I27">
        <v>3.8578156381799997E-2</v>
      </c>
      <c r="J27">
        <v>5.63218891621E-2</v>
      </c>
    </row>
    <row r="28" spans="1:10" x14ac:dyDescent="0.3">
      <c r="A28" s="38" t="s">
        <v>60</v>
      </c>
      <c r="B28" s="38">
        <v>27.5</v>
      </c>
      <c r="C28">
        <v>3.4918714314699999E-2</v>
      </c>
      <c r="D28">
        <v>3.6181893199699999E-2</v>
      </c>
      <c r="E28">
        <v>3.1460244208599997E-2</v>
      </c>
      <c r="F28">
        <v>3.63250896335E-2</v>
      </c>
      <c r="G28">
        <v>3.57223190367E-2</v>
      </c>
      <c r="H28">
        <v>4.5546170324100001E-2</v>
      </c>
      <c r="I28">
        <v>3.31708602607E-2</v>
      </c>
      <c r="J28">
        <v>4.8457857221400003E-2</v>
      </c>
    </row>
    <row r="29" spans="1:10" x14ac:dyDescent="0.3">
      <c r="A29" s="38" t="s">
        <v>60</v>
      </c>
      <c r="B29" s="38">
        <v>32.5</v>
      </c>
      <c r="C29">
        <v>3.0200703069600002E-2</v>
      </c>
      <c r="D29">
        <v>3.1322646886100002E-2</v>
      </c>
      <c r="E29">
        <v>2.72386819124E-2</v>
      </c>
      <c r="F29">
        <v>3.14021632075E-2</v>
      </c>
      <c r="G29">
        <v>3.0894996598400001E-2</v>
      </c>
      <c r="H29">
        <v>3.9413675665899997E-2</v>
      </c>
      <c r="I29">
        <v>2.86844652146E-2</v>
      </c>
      <c r="J29">
        <v>4.1921745985699997E-2</v>
      </c>
    </row>
    <row r="30" spans="1:10" x14ac:dyDescent="0.3">
      <c r="A30" s="38" t="s">
        <v>60</v>
      </c>
      <c r="B30" s="38">
        <v>37.5</v>
      </c>
      <c r="C30">
        <v>2.6544878259299999E-2</v>
      </c>
      <c r="D30">
        <v>2.7620913460899999E-2</v>
      </c>
      <c r="E30">
        <v>2.3948570713400001E-2</v>
      </c>
      <c r="F30">
        <v>2.75632496923E-2</v>
      </c>
      <c r="G30">
        <v>2.7160381898300001E-2</v>
      </c>
      <c r="H30">
        <v>3.4794658422499999E-2</v>
      </c>
      <c r="I30">
        <v>2.5199735537200001E-2</v>
      </c>
      <c r="J30">
        <v>3.6833021789799997E-2</v>
      </c>
    </row>
    <row r="31" spans="1:10" x14ac:dyDescent="0.3">
      <c r="A31" s="38" t="s">
        <v>60</v>
      </c>
      <c r="B31" s="38">
        <v>42.5</v>
      </c>
      <c r="C31">
        <v>2.38674543798E-2</v>
      </c>
      <c r="D31">
        <v>2.47377473861E-2</v>
      </c>
      <c r="E31">
        <v>2.1569157019300001E-2</v>
      </c>
      <c r="F31">
        <v>2.48084310442E-2</v>
      </c>
      <c r="G31">
        <v>2.4383226409600001E-2</v>
      </c>
      <c r="H31">
        <v>3.11215482652E-2</v>
      </c>
      <c r="I31">
        <v>2.26356312633E-2</v>
      </c>
      <c r="J31">
        <v>3.31035032868E-2</v>
      </c>
    </row>
    <row r="32" spans="1:10" x14ac:dyDescent="0.3">
      <c r="A32" s="38" t="s">
        <v>60</v>
      </c>
      <c r="B32" s="38">
        <v>47.5</v>
      </c>
      <c r="C32">
        <v>2.1966401487599999E-2</v>
      </c>
      <c r="D32">
        <v>2.2867945954200001E-2</v>
      </c>
      <c r="E32">
        <v>1.9852669909599999E-2</v>
      </c>
      <c r="F32">
        <v>2.2789862006899999E-2</v>
      </c>
      <c r="G32">
        <v>2.2449804469900001E-2</v>
      </c>
      <c r="H32">
        <v>2.87346448749E-2</v>
      </c>
      <c r="I32">
        <v>2.0828295499100001E-2</v>
      </c>
      <c r="J32">
        <v>3.05069871247E-2</v>
      </c>
    </row>
    <row r="33" spans="1:10" x14ac:dyDescent="0.3">
      <c r="A33" s="38" t="s">
        <v>60</v>
      </c>
      <c r="B33" s="38">
        <v>52.5</v>
      </c>
      <c r="C33">
        <v>2.04963181168E-2</v>
      </c>
      <c r="D33">
        <v>2.1379128098500001E-2</v>
      </c>
      <c r="E33">
        <v>1.8558653071500002E-2</v>
      </c>
      <c r="F33">
        <v>2.12536733598E-2</v>
      </c>
      <c r="G33">
        <v>2.1015109494300001E-2</v>
      </c>
      <c r="H33">
        <v>2.6829566806600001E-2</v>
      </c>
      <c r="I33">
        <v>1.9444948062299999E-2</v>
      </c>
      <c r="J33">
        <v>2.8461825102600001E-2</v>
      </c>
    </row>
    <row r="34" spans="1:10" x14ac:dyDescent="0.3">
      <c r="A34" s="38" t="s">
        <v>60</v>
      </c>
      <c r="B34" s="38">
        <v>57.5</v>
      </c>
      <c r="C34">
        <v>1.9343970343500001E-2</v>
      </c>
      <c r="D34">
        <v>2.0223269239099999E-2</v>
      </c>
      <c r="E34">
        <v>1.7531229183099999E-2</v>
      </c>
      <c r="F34">
        <v>2.0045710727599999E-2</v>
      </c>
      <c r="G34">
        <v>1.96963697672E-2</v>
      </c>
      <c r="H34">
        <v>2.5342658162100001E-2</v>
      </c>
      <c r="I34">
        <v>1.83507427573E-2</v>
      </c>
      <c r="J34">
        <v>2.6871265843500001E-2</v>
      </c>
    </row>
    <row r="35" spans="1:10" x14ac:dyDescent="0.3">
      <c r="A35" s="38" t="s">
        <v>60</v>
      </c>
      <c r="B35" s="38">
        <v>62.5</v>
      </c>
      <c r="C35">
        <v>1.8619537353499999E-2</v>
      </c>
      <c r="D35">
        <v>1.9525045529000001E-2</v>
      </c>
      <c r="E35">
        <v>1.6900295391700002E-2</v>
      </c>
      <c r="F35">
        <v>1.9285675138199999E-2</v>
      </c>
      <c r="G35">
        <v>1.9009761512300001E-2</v>
      </c>
      <c r="H35">
        <v>2.44179181755E-2</v>
      </c>
      <c r="I35">
        <v>1.7664575949300002E-2</v>
      </c>
      <c r="J35">
        <v>2.5879047810999999E-2</v>
      </c>
    </row>
    <row r="36" spans="1:10" x14ac:dyDescent="0.3">
      <c r="A36" s="38" t="s">
        <v>60</v>
      </c>
      <c r="B36" s="38">
        <v>67.5</v>
      </c>
      <c r="C36">
        <v>1.8634382635400001E-2</v>
      </c>
      <c r="D36">
        <v>1.9636310636999998E-2</v>
      </c>
      <c r="E36">
        <v>1.6957323998200002E-2</v>
      </c>
      <c r="F36">
        <v>1.92865505815E-2</v>
      </c>
      <c r="G36">
        <v>1.90108940005E-2</v>
      </c>
      <c r="H36">
        <v>2.4470949545500002E-2</v>
      </c>
      <c r="I36">
        <v>1.7677549272799999E-2</v>
      </c>
      <c r="J36">
        <v>2.5925543159199999E-2</v>
      </c>
    </row>
    <row r="37" spans="1:10" x14ac:dyDescent="0.3">
      <c r="A37" s="38" t="s">
        <v>60</v>
      </c>
      <c r="B37" s="38">
        <v>72.5</v>
      </c>
      <c r="C37">
        <v>7.90686160326E-2</v>
      </c>
      <c r="D37">
        <v>8.01013186574E-2</v>
      </c>
      <c r="E37">
        <v>7.0720508694600004E-2</v>
      </c>
      <c r="F37">
        <v>8.2020431756999995E-2</v>
      </c>
      <c r="G37">
        <v>8.1513799727E-2</v>
      </c>
      <c r="H37">
        <v>0.1030077189207</v>
      </c>
      <c r="I37">
        <v>7.4641339480900001E-2</v>
      </c>
      <c r="J37">
        <v>0.1089776977897</v>
      </c>
    </row>
  </sheetData>
  <sheetProtection algorithmName="SHA-512" hashValue="P5qDBiH2InqX04FUBXfWyO3+8m/ATkbBJuZovrlxEzyA6TQ60vBhxXEDDlpFmVpe41d4fFSmoi8BVaIn01Xx5w==" saltValue="IHehEBHI3k/CVM8lqF2YwQ==" spinCount="100000" sheet="1" objects="1" scenarios="1"/>
  <mergeCells count="2">
    <mergeCell ref="A1:J1"/>
    <mergeCell ref="A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A818-08E4-48D2-8271-8343428D87E5}">
  <sheetPr codeName="Sheet9">
    <tabColor theme="1" tint="4.9989318521683403E-2"/>
  </sheetPr>
  <dimension ref="B2:D15"/>
  <sheetViews>
    <sheetView topLeftCell="A4" zoomScale="160" zoomScaleNormal="160" workbookViewId="0">
      <selection activeCell="D6" sqref="D6"/>
    </sheetView>
  </sheetViews>
  <sheetFormatPr defaultRowHeight="14.4" x14ac:dyDescent="0.3"/>
  <cols>
    <col min="3" max="3" width="34.109375" customWidth="1"/>
    <col min="4" max="4" width="11.109375" bestFit="1" customWidth="1"/>
  </cols>
  <sheetData>
    <row r="2" spans="2:4" x14ac:dyDescent="0.3">
      <c r="B2" t="s">
        <v>111</v>
      </c>
      <c r="C2" s="43" t="s">
        <v>112</v>
      </c>
    </row>
    <row r="3" spans="2:4" x14ac:dyDescent="0.3">
      <c r="C3" t="s">
        <v>113</v>
      </c>
    </row>
    <row r="5" spans="2:4" ht="28.8" x14ac:dyDescent="0.3">
      <c r="C5" s="45" t="s">
        <v>114</v>
      </c>
      <c r="D5" s="45" t="s">
        <v>115</v>
      </c>
    </row>
    <row r="6" spans="2:4" ht="57.6" x14ac:dyDescent="0.3">
      <c r="C6" s="44" t="s">
        <v>116</v>
      </c>
      <c r="D6" s="47">
        <v>2</v>
      </c>
    </row>
    <row r="7" spans="2:4" x14ac:dyDescent="0.3">
      <c r="C7" s="44" t="s">
        <v>117</v>
      </c>
      <c r="D7" s="47">
        <v>4</v>
      </c>
    </row>
    <row r="8" spans="2:4" x14ac:dyDescent="0.3">
      <c r="C8" s="44" t="s">
        <v>118</v>
      </c>
      <c r="D8" s="47">
        <v>3</v>
      </c>
    </row>
    <row r="9" spans="2:4" ht="28.8" x14ac:dyDescent="0.3">
      <c r="C9" s="44" t="s">
        <v>119</v>
      </c>
      <c r="D9" s="47">
        <v>5</v>
      </c>
    </row>
    <row r="10" spans="2:4" ht="57.6" x14ac:dyDescent="0.3">
      <c r="C10" s="44" t="s">
        <v>120</v>
      </c>
      <c r="D10" s="47">
        <v>12</v>
      </c>
    </row>
    <row r="11" spans="2:4" ht="43.2" x14ac:dyDescent="0.3">
      <c r="C11" s="44" t="s">
        <v>58</v>
      </c>
      <c r="D11" s="47">
        <v>20</v>
      </c>
    </row>
    <row r="12" spans="2:4" ht="28.8" x14ac:dyDescent="0.3">
      <c r="C12" s="44" t="s">
        <v>121</v>
      </c>
      <c r="D12" s="47">
        <v>35</v>
      </c>
    </row>
    <row r="15" spans="2:4" x14ac:dyDescent="0.3">
      <c r="B15" t="s">
        <v>122</v>
      </c>
      <c r="C15" t="s">
        <v>123</v>
      </c>
    </row>
  </sheetData>
  <sheetProtection algorithmName="SHA-512" hashValue="5pYQDeo7xbvazJTuhqtU0/jpzcV086wmuc4hjEr+Pn404NBigSu7nPltD0T9sgvcG7iBAsvVWyU6htWZBfu2yw==" saltValue="qEJUTzn8vSJCQXCpKJgqpQ==" spinCount="100000" sheet="1" objects="1" scenarios="1"/>
  <hyperlinks>
    <hyperlink ref="C2" r:id="rId1" xr:uid="{298AA580-02A5-4C1A-AB89-AF9A45BD538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2FC740BCA03C479DA71D811169BFA1" ma:contentTypeVersion="5" ma:contentTypeDescription="Create a new document." ma:contentTypeScope="" ma:versionID="55c1fcfba0b50bee698a5af054f21b19">
  <xsd:schema xmlns:xsd="http://www.w3.org/2001/XMLSchema" xmlns:xs="http://www.w3.org/2001/XMLSchema" xmlns:p="http://schemas.microsoft.com/office/2006/metadata/properties" xmlns:ns2="12c48a06-edc6-4ccf-ab50-6f21e6b801cd" xmlns:ns3="6a71ecd6-7a08-4b40-8c69-f5ec8494976e" targetNamespace="http://schemas.microsoft.com/office/2006/metadata/properties" ma:root="true" ma:fieldsID="620b7003fcbb9a2700d630a39e7fc411" ns2:_="" ns3:_="">
    <xsd:import namespace="12c48a06-edc6-4ccf-ab50-6f21e6b801cd"/>
    <xsd:import namespace="6a71ecd6-7a08-4b40-8c69-f5ec849497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48a06-edc6-4ccf-ab50-6f21e6b80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1ecd6-7a08-4b40-8c69-f5ec849497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A78535-BAE3-4200-AA63-3BD9CE76ADCD}">
  <ds:schemaRefs>
    <ds:schemaRef ds:uri="http://schemas.microsoft.com/sharepoint/v3/contenttype/forms"/>
  </ds:schemaRefs>
</ds:datastoreItem>
</file>

<file path=customXml/itemProps2.xml><?xml version="1.0" encoding="utf-8"?>
<ds:datastoreItem xmlns:ds="http://schemas.openxmlformats.org/officeDocument/2006/customXml" ds:itemID="{D52C0B9A-0163-4B3D-ACAC-E05BF082C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48a06-edc6-4ccf-ab50-6f21e6b801cd"/>
    <ds:schemaRef ds:uri="6a71ecd6-7a08-4b40-8c69-f5ec84949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0C91A7-5CA4-4B74-8F3F-37508B3E85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ITS Delay Worksheet</vt:lpstr>
      <vt:lpstr>Emissions Reduction Worksheet</vt:lpstr>
      <vt:lpstr>Inputs &amp; Outputs</vt:lpstr>
      <vt:lpstr>Benefit Calculations</vt:lpstr>
      <vt:lpstr>Value of Emissions</vt:lpstr>
      <vt:lpstr>Emission Factors - NOx</vt:lpstr>
      <vt:lpstr>Emission Factors - VOC</vt:lpstr>
      <vt:lpstr>Service Life</vt:lpstr>
      <vt:lpstr>Assumed Values</vt:lpstr>
      <vt:lpstr>Growth Rates</vt:lpstr>
      <vt:lpstr>'Emissions Reduction Worksheet'!Print_Area</vt:lpstr>
      <vt:lpstr>'ITS Delay Worksheet'!Print_Area</vt:lpstr>
    </vt:vector>
  </TitlesOfParts>
  <Manager/>
  <Company>Houston-Galveston Area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Lingala, Vishu</cp:lastModifiedBy>
  <cp:revision/>
  <dcterms:created xsi:type="dcterms:W3CDTF">2012-07-25T15:48:32Z</dcterms:created>
  <dcterms:modified xsi:type="dcterms:W3CDTF">2024-07-29T11:29:14Z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0x010100412FC740BCA03C479DA71D811169BFA1</vt:lpwstr>
  </property>
</Properties>
</file>