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hgac-my.sharepoint.com/personal/lingala_h-gac_com/Documents/2021 Call/Jan 2023/Project Scoring/Five Investment Categories/Submitted Questionnaires/Scores/Benefits Calculators/"/>
    </mc:Choice>
  </mc:AlternateContent>
  <xr:revisionPtr revIDLastSave="0" documentId="8_{2B385CC0-B3FC-4AC1-BD2E-D717C1330C9D}" xr6:coauthVersionLast="47" xr6:coauthVersionMax="47" xr10:uidLastSave="{00000000-0000-0000-0000-000000000000}"/>
  <bookViews>
    <workbookView xWindow="-108" yWindow="-108" windowWidth="23256" windowHeight="12576" tabRatio="776" firstSheet="2" activeTab="2" xr2:uid="{00000000-000D-0000-FFFF-FFFF00000000}"/>
  </bookViews>
  <sheets>
    <sheet name="ITS Delay Worksheet" sheetId="7" state="hidden" r:id="rId1"/>
    <sheet name="Emissions Reduction Worksheet" sheetId="5" state="hidden" r:id="rId2"/>
    <sheet name="Instructions" sheetId="18" r:id="rId3"/>
    <sheet name="Inputs &amp; Outputs" sheetId="11" r:id="rId4"/>
    <sheet name="Calculations" sheetId="13" r:id="rId5"/>
    <sheet name="Assumed Values" sheetId="2" r:id="rId6"/>
    <sheet name="Value of Emissions" sheetId="6" r:id="rId7"/>
    <sheet name="Emission Factors - NOx" sheetId="14" r:id="rId8"/>
    <sheet name="Emission Factors - VOC" sheetId="16" r:id="rId9"/>
    <sheet name="Service Life" sheetId="17" r:id="rId10"/>
    <sheet name="Growth Rates" sheetId="19" r:id="rId11"/>
  </sheets>
  <externalReferences>
    <externalReference r:id="rId12"/>
    <externalReference r:id="rId13"/>
  </externalReferences>
  <definedNames>
    <definedName name="_2018_2025_Demand_Growth">#REF!</definedName>
    <definedName name="_2018_2025_V_C_Growth">#REF!</definedName>
    <definedName name="_2018_2045_Demand_Growth">#REF!</definedName>
    <definedName name="_2018_2045_V_C_Growth">#REF!</definedName>
    <definedName name="_2018_Capacity">'Inputs &amp; Outputs'!#REF!</definedName>
    <definedName name="_2018_V_C_Ratio">Calculations!#REF!</definedName>
    <definedName name="_2018_Volume">'Inputs &amp; Outputs'!#REF!</definedName>
    <definedName name="_2025_2045_Demand_Growth">#REF!</definedName>
    <definedName name="_2025_2045_V_C_Growth">#REF!</definedName>
    <definedName name="_2025_Capacity">'Inputs &amp; Outputs'!$F$11</definedName>
    <definedName name="_2025_V_C_Ratio">Calculations!#REF!</definedName>
    <definedName name="_2025_Volume">'Inputs &amp; Outputs'!#REF!</definedName>
    <definedName name="_2045_Capacity">'Inputs &amp; Outputs'!#REF!</definedName>
    <definedName name="_2045_V_C_Ratio">Calculations!#REF!</definedName>
    <definedName name="_2045_Volume">'Inputs &amp; Outputs'!#REF!</definedName>
    <definedName name="Annual_Days_of_Travel">#REF!</definedName>
    <definedName name="Application_ID_Number">'Inputs &amp; Outputs'!$C$6</definedName>
    <definedName name="Base_Year">#REF!</definedName>
    <definedName name="Discount_Rate">Calculations!#REF!</definedName>
    <definedName name="Name">'Inputs &amp; Outputs'!$C$5</definedName>
    <definedName name="_xlnm.Print_Area" localSheetId="5">'Assumed Values'!$B$2:$C$14</definedName>
    <definedName name="_xlnm.Print_Area" localSheetId="4">Calculations!#REF!</definedName>
    <definedName name="_xlnm.Print_Area" localSheetId="1">'Emissions Reduction Worksheet'!$A$3:$K$33</definedName>
    <definedName name="_xlnm.Print_Area" localSheetId="3">'Inputs &amp; Outputs'!$B$2:$F$24</definedName>
    <definedName name="_xlnm.Print_Area" localSheetId="2">Instructions!$A$1:$G$12</definedName>
    <definedName name="_xlnm.Print_Area" localSheetId="0">'ITS Delay Worksheet'!$A$3:$J$33</definedName>
    <definedName name="Real_wage_growth_rate">#REF!</definedName>
    <definedName name="Service_Life">'[1]Inputs &amp; Outputs'!$C$19</definedName>
    <definedName name="Sponsor_ID_Number__CSJ__etc.">'Inputs &amp; Outputs'!$C$7</definedName>
    <definedName name="Value_of_Delay_Savings__2015_____000s">[2]Calculations!$S$4:$S$36</definedName>
    <definedName name="Value_of_Delay_Savings__2018_____000s">Calculations!#REF!+Calculations!#REF!</definedName>
    <definedName name="Value_of_Travel_Time__VoTT___2018">#REF!</definedName>
    <definedName name="Vehicle_Occupancy">#REF!</definedName>
    <definedName name="Year_Open_to_Traffic?">'Inputs &amp; Outputs'!$C$12</definedName>
    <definedName name="Years_to_include_in_BCA_Analysi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3" l="1"/>
  <c r="C5" i="13"/>
  <c r="C16" i="19"/>
  <c r="I5" i="13" l="1"/>
  <c r="G6" i="13"/>
  <c r="C6" i="2" l="1"/>
  <c r="C5" i="2"/>
  <c r="D19" i="2" l="1"/>
  <c r="D18" i="2"/>
  <c r="C7" i="2" l="1"/>
  <c r="C8" i="2" s="1"/>
  <c r="C15" i="11" s="1"/>
  <c r="G34" i="13" l="1"/>
  <c r="G11" i="13"/>
  <c r="G13" i="13"/>
  <c r="G14" i="13"/>
  <c r="G9" i="13"/>
  <c r="G10" i="13"/>
  <c r="G12" i="13"/>
  <c r="G18" i="13"/>
  <c r="G19" i="13"/>
  <c r="G27" i="13"/>
  <c r="G20" i="13"/>
  <c r="G28" i="13"/>
  <c r="G5" i="13"/>
  <c r="I6" i="13" s="1"/>
  <c r="G21" i="13"/>
  <c r="G29" i="13"/>
  <c r="G22" i="13"/>
  <c r="G30" i="13"/>
  <c r="G7" i="13"/>
  <c r="G15" i="13"/>
  <c r="G23" i="13"/>
  <c r="G31" i="13"/>
  <c r="G8" i="13"/>
  <c r="G16" i="13"/>
  <c r="G24" i="13"/>
  <c r="G32" i="13"/>
  <c r="G17" i="13"/>
  <c r="G25" i="13"/>
  <c r="G33" i="13"/>
  <c r="G26" i="13"/>
  <c r="I7" i="13" l="1"/>
  <c r="I8" i="13" s="1"/>
  <c r="I9" i="13" s="1"/>
  <c r="I10" i="13" s="1"/>
  <c r="I11" i="13" s="1"/>
  <c r="I12" i="13" s="1"/>
  <c r="I13" i="13" s="1"/>
  <c r="I14" i="13" s="1"/>
  <c r="I15" i="13" s="1"/>
  <c r="I16" i="13" s="1"/>
  <c r="I17" i="13" s="1"/>
  <c r="I18" i="13" s="1"/>
  <c r="I19" i="13" s="1"/>
  <c r="I20" i="13" s="1"/>
  <c r="I21" i="13" s="1"/>
  <c r="I22" i="13" s="1"/>
  <c r="I23" i="13" s="1"/>
  <c r="I24" i="13" s="1"/>
  <c r="I25" i="13" s="1"/>
  <c r="I26" i="13" s="1"/>
  <c r="I27" i="13" s="1"/>
  <c r="I28" i="13" s="1"/>
  <c r="I29" i="13" s="1"/>
  <c r="I30" i="13" s="1"/>
  <c r="I31" i="13" s="1"/>
  <c r="I32" i="13" s="1"/>
  <c r="I33" i="13" s="1"/>
  <c r="I34" i="13" s="1"/>
  <c r="H5" i="13"/>
  <c r="F6" i="13"/>
  <c r="H6" i="13" l="1"/>
  <c r="F7" i="13"/>
  <c r="H7" i="13" l="1"/>
  <c r="F8" i="13"/>
  <c r="H8" i="13" s="1"/>
  <c r="F9" i="13" l="1"/>
  <c r="H9" i="13" l="1"/>
  <c r="F10" i="13"/>
  <c r="H10" i="13" l="1"/>
  <c r="F11" i="13"/>
  <c r="H11" i="13" l="1"/>
  <c r="F12" i="13"/>
  <c r="H12" i="13" l="1"/>
  <c r="F13" i="13"/>
  <c r="H13" i="13" l="1"/>
  <c r="F14" i="13"/>
  <c r="H14" i="13" l="1"/>
  <c r="F15" i="13"/>
  <c r="H15" i="13" l="1"/>
  <c r="F16" i="13"/>
  <c r="H16" i="13" l="1"/>
  <c r="F17" i="13"/>
  <c r="B18" i="5"/>
  <c r="E17" i="5" s="1"/>
  <c r="G4" i="7"/>
  <c r="H4" i="7" s="1"/>
  <c r="G4" i="5"/>
  <c r="G5" i="5" s="1"/>
  <c r="G6" i="5" s="1"/>
  <c r="G7" i="5" s="1"/>
  <c r="G8" i="5" s="1"/>
  <c r="G9" i="5" s="1"/>
  <c r="G10" i="5" s="1"/>
  <c r="G11" i="5" s="1"/>
  <c r="G12" i="5" s="1"/>
  <c r="G13" i="5" s="1"/>
  <c r="G14" i="5" s="1"/>
  <c r="B18" i="7"/>
  <c r="B17" i="7"/>
  <c r="B16" i="7"/>
  <c r="E17" i="7"/>
  <c r="G5" i="7" l="1"/>
  <c r="H5" i="7" s="1"/>
  <c r="H17" i="13"/>
  <c r="I4" i="7"/>
  <c r="B19" i="5"/>
  <c r="E18" i="5" s="1"/>
  <c r="J4" i="5" s="1"/>
  <c r="F18" i="13"/>
  <c r="J14" i="5"/>
  <c r="H14" i="5"/>
  <c r="G15" i="5"/>
  <c r="H10" i="5"/>
  <c r="G6" i="7"/>
  <c r="I5" i="7"/>
  <c r="H6" i="5"/>
  <c r="H11" i="5"/>
  <c r="H12" i="5"/>
  <c r="H4" i="5"/>
  <c r="H13" i="5"/>
  <c r="H5" i="5"/>
  <c r="H7" i="5"/>
  <c r="H8" i="5"/>
  <c r="H9" i="5"/>
  <c r="H18" i="13" l="1"/>
  <c r="J9" i="5"/>
  <c r="J10" i="5"/>
  <c r="J6" i="5"/>
  <c r="J13" i="5"/>
  <c r="J11" i="5"/>
  <c r="J7" i="5"/>
  <c r="J5" i="5"/>
  <c r="J12" i="5"/>
  <c r="J8" i="5"/>
  <c r="F19" i="13"/>
  <c r="B20" i="5"/>
  <c r="I9" i="5" s="1"/>
  <c r="B21" i="5"/>
  <c r="K4" i="5" s="1"/>
  <c r="H6" i="7"/>
  <c r="I6" i="7"/>
  <c r="G7" i="7"/>
  <c r="H15" i="5"/>
  <c r="G16" i="5"/>
  <c r="J15" i="5"/>
  <c r="B19" i="7"/>
  <c r="H19" i="13" l="1"/>
  <c r="I7" i="5"/>
  <c r="F20" i="13"/>
  <c r="I4" i="5"/>
  <c r="I10" i="5"/>
  <c r="I8" i="5"/>
  <c r="K5" i="5"/>
  <c r="I13" i="5"/>
  <c r="K12" i="5"/>
  <c r="I11" i="5"/>
  <c r="K13" i="5"/>
  <c r="I6" i="5"/>
  <c r="I5" i="5"/>
  <c r="K9" i="5"/>
  <c r="I14" i="5"/>
  <c r="K8" i="5"/>
  <c r="K6" i="5"/>
  <c r="K15" i="5"/>
  <c r="I12" i="5"/>
  <c r="K10" i="5"/>
  <c r="K7" i="5"/>
  <c r="K11" i="5"/>
  <c r="K14" i="5"/>
  <c r="H16" i="5"/>
  <c r="I16" i="5" s="1"/>
  <c r="J16" i="5"/>
  <c r="K16" i="5" s="1"/>
  <c r="G17" i="5"/>
  <c r="I15" i="5"/>
  <c r="G8" i="7"/>
  <c r="H7" i="7"/>
  <c r="I7" i="7"/>
  <c r="J7" i="7" s="1"/>
  <c r="J6" i="7"/>
  <c r="J5" i="7"/>
  <c r="J4" i="7"/>
  <c r="H20" i="13" l="1"/>
  <c r="F21" i="13"/>
  <c r="H8" i="7"/>
  <c r="I8" i="7" s="1"/>
  <c r="J8" i="7" s="1"/>
  <c r="G9" i="7"/>
  <c r="G18" i="5"/>
  <c r="H17" i="5"/>
  <c r="J17" i="5"/>
  <c r="K17" i="5" s="1"/>
  <c r="B11" i="7"/>
  <c r="B12" i="7" s="1"/>
  <c r="H21" i="13" l="1"/>
  <c r="F22" i="13"/>
  <c r="I17" i="5"/>
  <c r="G10" i="7"/>
  <c r="H9" i="7"/>
  <c r="I9" i="7" s="1"/>
  <c r="J9" i="7" s="1"/>
  <c r="G19" i="5"/>
  <c r="H18" i="5"/>
  <c r="I18" i="5" s="1"/>
  <c r="J18" i="5"/>
  <c r="K18" i="5" s="1"/>
  <c r="H22" i="13" l="1"/>
  <c r="F23" i="13"/>
  <c r="J19" i="5"/>
  <c r="K19" i="5" s="1"/>
  <c r="G20" i="5"/>
  <c r="H19" i="5"/>
  <c r="I19" i="5" s="1"/>
  <c r="G11" i="7"/>
  <c r="H10" i="7"/>
  <c r="I10" i="7" s="1"/>
  <c r="J10" i="7" s="1"/>
  <c r="H23" i="13" l="1"/>
  <c r="F24" i="13"/>
  <c r="H11" i="7"/>
  <c r="I11" i="7"/>
  <c r="J11" i="7" s="1"/>
  <c r="G12" i="7"/>
  <c r="J20" i="5"/>
  <c r="K20" i="5" s="1"/>
  <c r="G21" i="5"/>
  <c r="H20" i="5"/>
  <c r="H24" i="13" l="1"/>
  <c r="F25" i="13"/>
  <c r="I20" i="5"/>
  <c r="G13" i="7"/>
  <c r="H12" i="7"/>
  <c r="I12" i="7" s="1"/>
  <c r="J12" i="7" s="1"/>
  <c r="J21" i="5"/>
  <c r="K21" i="5" s="1"/>
  <c r="H21" i="5"/>
  <c r="I21" i="5" s="1"/>
  <c r="G22" i="5"/>
  <c r="H25" i="13" l="1"/>
  <c r="F26" i="13"/>
  <c r="H13" i="7"/>
  <c r="I13" i="7" s="1"/>
  <c r="J13" i="7" s="1"/>
  <c r="G14" i="7"/>
  <c r="J22" i="5"/>
  <c r="K22" i="5" s="1"/>
  <c r="G23" i="5"/>
  <c r="H22" i="5"/>
  <c r="I22" i="5" s="1"/>
  <c r="H26" i="13" l="1"/>
  <c r="F27" i="13"/>
  <c r="H23" i="5"/>
  <c r="I23" i="5" s="1"/>
  <c r="J23" i="5"/>
  <c r="K23" i="5" s="1"/>
  <c r="G24" i="5"/>
  <c r="H14" i="7"/>
  <c r="I14" i="7" s="1"/>
  <c r="J14" i="7" s="1"/>
  <c r="G15" i="7"/>
  <c r="H27" i="13" l="1"/>
  <c r="F28" i="13"/>
  <c r="G16" i="7"/>
  <c r="H15" i="7"/>
  <c r="I15" i="7" s="1"/>
  <c r="J15" i="7" s="1"/>
  <c r="H24" i="5"/>
  <c r="I24" i="5" s="1"/>
  <c r="J24" i="5"/>
  <c r="K24" i="5" s="1"/>
  <c r="G25" i="5"/>
  <c r="H28" i="13" l="1"/>
  <c r="B11" i="5"/>
  <c r="B12" i="5" s="1"/>
  <c r="F29" i="13"/>
  <c r="G26" i="5"/>
  <c r="H25" i="5"/>
  <c r="I25" i="5" s="1"/>
  <c r="J25" i="5"/>
  <c r="K25" i="5" s="1"/>
  <c r="H16" i="7"/>
  <c r="I16" i="7"/>
  <c r="J16" i="7" s="1"/>
  <c r="G17" i="7"/>
  <c r="H29" i="13" l="1"/>
  <c r="F30" i="13"/>
  <c r="H17" i="7"/>
  <c r="I17" i="7" s="1"/>
  <c r="J17" i="7" s="1"/>
  <c r="G18" i="7"/>
  <c r="G27" i="5"/>
  <c r="H26" i="5"/>
  <c r="I26" i="5" s="1"/>
  <c r="J26" i="5"/>
  <c r="K26" i="5" s="1"/>
  <c r="H30" i="13" l="1"/>
  <c r="F31" i="13"/>
  <c r="J27" i="5"/>
  <c r="K27" i="5" s="1"/>
  <c r="G28" i="5"/>
  <c r="H27" i="5"/>
  <c r="I27" i="5" s="1"/>
  <c r="G19" i="7"/>
  <c r="H18" i="7"/>
  <c r="I18" i="7" s="1"/>
  <c r="J18" i="7" s="1"/>
  <c r="H31" i="13" l="1"/>
  <c r="F32" i="13"/>
  <c r="G29" i="5"/>
  <c r="H28" i="5"/>
  <c r="I28" i="5" s="1"/>
  <c r="J28" i="5"/>
  <c r="K28" i="5" s="1"/>
  <c r="H19" i="7"/>
  <c r="I19" i="7" s="1"/>
  <c r="J19" i="7" s="1"/>
  <c r="G20" i="7"/>
  <c r="H32" i="13" l="1"/>
  <c r="F33" i="13"/>
  <c r="G21" i="7"/>
  <c r="H20" i="7"/>
  <c r="I20" i="7" s="1"/>
  <c r="J20" i="7" s="1"/>
  <c r="J29" i="5"/>
  <c r="K29" i="5" s="1"/>
  <c r="H29" i="5"/>
  <c r="H33" i="13" l="1"/>
  <c r="F34" i="13"/>
  <c r="I29" i="5"/>
  <c r="B13" i="5"/>
  <c r="H21" i="7"/>
  <c r="I21" i="7" s="1"/>
  <c r="J21" i="7" s="1"/>
  <c r="G22" i="7"/>
  <c r="H34" i="13" l="1"/>
  <c r="H22" i="7"/>
  <c r="I22" i="7" s="1"/>
  <c r="J22" i="7" s="1"/>
  <c r="G23" i="7"/>
  <c r="G24" i="7" l="1"/>
  <c r="H23" i="7"/>
  <c r="I23" i="7" s="1"/>
  <c r="J23" i="7" s="1"/>
  <c r="H24" i="7" l="1"/>
  <c r="I24" i="7" s="1"/>
  <c r="J24" i="7" s="1"/>
  <c r="G25" i="7"/>
  <c r="G26" i="7" l="1"/>
  <c r="H25" i="7"/>
  <c r="I25" i="7" s="1"/>
  <c r="J25" i="7" s="1"/>
  <c r="G27" i="7" l="1"/>
  <c r="H26" i="7"/>
  <c r="I26" i="7" s="1"/>
  <c r="J26" i="7" s="1"/>
  <c r="H27" i="7" l="1"/>
  <c r="I27" i="7" s="1"/>
  <c r="J27" i="7" s="1"/>
  <c r="G28" i="7"/>
  <c r="H28" i="7" l="1"/>
  <c r="I28" i="7" s="1"/>
  <c r="J28" i="7" s="1"/>
  <c r="G29" i="7"/>
  <c r="H29" i="7" l="1"/>
  <c r="I29" i="7" s="1"/>
  <c r="J29" i="7" s="1"/>
  <c r="N5" i="13" l="1"/>
  <c r="O5" i="13" s="1"/>
  <c r="J7" i="13"/>
  <c r="K7" i="13" s="1"/>
  <c r="N6" i="13"/>
  <c r="O6" i="13" s="1"/>
  <c r="J5" i="13"/>
  <c r="K5" i="13" s="1"/>
  <c r="L5" i="13" s="1"/>
  <c r="M5" i="13" s="1"/>
  <c r="J6" i="13"/>
  <c r="K6" i="13" s="1"/>
  <c r="N7" i="13"/>
  <c r="O7" i="13" s="1"/>
  <c r="P6" i="13" l="1"/>
  <c r="Q6" i="13" s="1"/>
  <c r="L6" i="13"/>
  <c r="M6" i="13" s="1"/>
  <c r="P7" i="13"/>
  <c r="Q7" i="13" s="1"/>
  <c r="L7" i="13"/>
  <c r="M7" i="13" s="1"/>
  <c r="P5" i="13"/>
  <c r="Q5" i="13" s="1"/>
  <c r="N8" i="13" l="1"/>
  <c r="O8" i="13" s="1"/>
  <c r="J8" i="13"/>
  <c r="K8" i="13" s="1"/>
  <c r="J9" i="13" l="1"/>
  <c r="K9" i="13" s="1"/>
  <c r="C19" i="11"/>
  <c r="C11" i="13" s="1"/>
  <c r="N9" i="13"/>
  <c r="O9" i="13" s="1"/>
  <c r="L8" i="13"/>
  <c r="M8" i="13" s="1"/>
  <c r="P8" i="13"/>
  <c r="Q8" i="13" s="1"/>
  <c r="C17" i="13" l="1"/>
  <c r="C15" i="13"/>
  <c r="J10" i="13"/>
  <c r="K10" i="13" s="1"/>
  <c r="N10" i="13"/>
  <c r="O10" i="13" s="1"/>
  <c r="P9" i="13"/>
  <c r="Q9" i="13" s="1"/>
  <c r="L9" i="13"/>
  <c r="M9" i="13" s="1"/>
  <c r="P10" i="13" l="1"/>
  <c r="Q10" i="13" s="1"/>
  <c r="L10" i="13"/>
  <c r="M10" i="13" s="1"/>
  <c r="N11" i="13"/>
  <c r="O11" i="13" s="1"/>
  <c r="J11" i="13"/>
  <c r="K11" i="13" s="1"/>
  <c r="L11" i="13" l="1"/>
  <c r="M11" i="13" s="1"/>
  <c r="P11" i="13"/>
  <c r="Q11" i="13" s="1"/>
  <c r="J12" i="13"/>
  <c r="K12" i="13" s="1"/>
  <c r="N12" i="13"/>
  <c r="O12" i="13" s="1"/>
  <c r="N13" i="13" l="1"/>
  <c r="O13" i="13" s="1"/>
  <c r="J13" i="13"/>
  <c r="K13" i="13" s="1"/>
  <c r="L12" i="13"/>
  <c r="M12" i="13" s="1"/>
  <c r="P12" i="13"/>
  <c r="Q12" i="13" s="1"/>
  <c r="J14" i="13" l="1"/>
  <c r="K14" i="13" s="1"/>
  <c r="N14" i="13"/>
  <c r="O14" i="13" s="1"/>
  <c r="P13" i="13"/>
  <c r="Q13" i="13" s="1"/>
  <c r="L13" i="13"/>
  <c r="M13" i="13" s="1"/>
  <c r="N15" i="13" l="1"/>
  <c r="O15" i="13" s="1"/>
  <c r="J15" i="13"/>
  <c r="K15" i="13" s="1"/>
  <c r="L14" i="13"/>
  <c r="M14" i="13" s="1"/>
  <c r="P14" i="13"/>
  <c r="Q14" i="13" s="1"/>
  <c r="J16" i="13" l="1"/>
  <c r="K16" i="13" s="1"/>
  <c r="N16" i="13"/>
  <c r="O16" i="13" s="1"/>
  <c r="L15" i="13"/>
  <c r="M15" i="13" s="1"/>
  <c r="P15" i="13"/>
  <c r="Q15" i="13" s="1"/>
  <c r="J17" i="13" l="1"/>
  <c r="K17" i="13" s="1"/>
  <c r="N17" i="13"/>
  <c r="O17" i="13" s="1"/>
  <c r="L16" i="13"/>
  <c r="M16" i="13" s="1"/>
  <c r="P16" i="13"/>
  <c r="Q16" i="13" s="1"/>
  <c r="L17" i="13" l="1"/>
  <c r="M17" i="13" s="1"/>
  <c r="P17" i="13"/>
  <c r="Q17" i="13" s="1"/>
  <c r="N18" i="13"/>
  <c r="O18" i="13" s="1"/>
  <c r="J18" i="13"/>
  <c r="K18" i="13" s="1"/>
  <c r="P18" i="13" l="1"/>
  <c r="Q18" i="13" s="1"/>
  <c r="L18" i="13"/>
  <c r="M18" i="13" s="1"/>
  <c r="N19" i="13"/>
  <c r="O19" i="13" s="1"/>
  <c r="J19" i="13"/>
  <c r="K19" i="13" s="1"/>
  <c r="L19" i="13" l="1"/>
  <c r="M19" i="13" s="1"/>
  <c r="P19" i="13"/>
  <c r="Q19" i="13" s="1"/>
  <c r="N20" i="13"/>
  <c r="O20" i="13" s="1"/>
  <c r="J20" i="13"/>
  <c r="K20" i="13" s="1"/>
  <c r="N21" i="13" l="1"/>
  <c r="O21" i="13" s="1"/>
  <c r="J21" i="13"/>
  <c r="K21" i="13" s="1"/>
  <c r="L20" i="13"/>
  <c r="M20" i="13" s="1"/>
  <c r="P20" i="13"/>
  <c r="Q20" i="13" s="1"/>
  <c r="L21" i="13" l="1"/>
  <c r="M21" i="13" s="1"/>
  <c r="P21" i="13"/>
  <c r="Q21" i="13" s="1"/>
  <c r="N22" i="13"/>
  <c r="O22" i="13" s="1"/>
  <c r="J22" i="13"/>
  <c r="K22" i="13" s="1"/>
  <c r="P22" i="13" l="1"/>
  <c r="Q22" i="13" s="1"/>
  <c r="L22" i="13"/>
  <c r="M22" i="13" s="1"/>
  <c r="J23" i="13"/>
  <c r="K23" i="13" s="1"/>
  <c r="N23" i="13"/>
  <c r="O23" i="13" s="1"/>
  <c r="N24" i="13" l="1"/>
  <c r="O24" i="13" s="1"/>
  <c r="J24" i="13"/>
  <c r="K24" i="13" s="1"/>
  <c r="L23" i="13"/>
  <c r="M23" i="13" s="1"/>
  <c r="P23" i="13"/>
  <c r="Q23" i="13" s="1"/>
  <c r="L24" i="13" l="1"/>
  <c r="M24" i="13" s="1"/>
  <c r="P24" i="13"/>
  <c r="Q24" i="13" s="1"/>
  <c r="N25" i="13"/>
  <c r="O25" i="13" s="1"/>
  <c r="J25" i="13"/>
  <c r="K25" i="13" s="1"/>
  <c r="L25" i="13" l="1"/>
  <c r="M25" i="13" s="1"/>
  <c r="P25" i="13"/>
  <c r="Q25" i="13" s="1"/>
  <c r="N26" i="13"/>
  <c r="O26" i="13" s="1"/>
  <c r="J26" i="13"/>
  <c r="K26" i="13" s="1"/>
  <c r="P26" i="13" l="1"/>
  <c r="Q26" i="13" s="1"/>
  <c r="L26" i="13"/>
  <c r="M26" i="13" s="1"/>
  <c r="J27" i="13"/>
  <c r="K27" i="13" s="1"/>
  <c r="N27" i="13"/>
  <c r="O27" i="13" s="1"/>
  <c r="J28" i="13" l="1"/>
  <c r="K28" i="13" s="1"/>
  <c r="N28" i="13"/>
  <c r="O28" i="13" s="1"/>
  <c r="L27" i="13"/>
  <c r="M27" i="13" s="1"/>
  <c r="P27" i="13"/>
  <c r="Q27" i="13" s="1"/>
  <c r="P28" i="13" l="1"/>
  <c r="Q28" i="13" s="1"/>
  <c r="L28" i="13"/>
  <c r="M28" i="13" s="1"/>
  <c r="N29" i="13"/>
  <c r="O29" i="13" s="1"/>
  <c r="J29" i="13"/>
  <c r="K29" i="13" s="1"/>
  <c r="P29" i="13" l="1"/>
  <c r="Q29" i="13" s="1"/>
  <c r="L29" i="13"/>
  <c r="M29" i="13" s="1"/>
  <c r="J30" i="13"/>
  <c r="K30" i="13" s="1"/>
  <c r="N30" i="13"/>
  <c r="O30" i="13" s="1"/>
  <c r="N31" i="13" l="1"/>
  <c r="O31" i="13" s="1"/>
  <c r="J31" i="13"/>
  <c r="K31" i="13" s="1"/>
  <c r="P30" i="13"/>
  <c r="Q30" i="13" s="1"/>
  <c r="L30" i="13"/>
  <c r="M30" i="13" s="1"/>
  <c r="L31" i="13" l="1"/>
  <c r="M31" i="13" s="1"/>
  <c r="P31" i="13"/>
  <c r="Q31" i="13" s="1"/>
  <c r="J32" i="13"/>
  <c r="K32" i="13" s="1"/>
  <c r="N32" i="13"/>
  <c r="O32" i="13" s="1"/>
  <c r="L32" i="13" l="1"/>
  <c r="M32" i="13" s="1"/>
  <c r="P32" i="13"/>
  <c r="Q32" i="13" s="1"/>
  <c r="N33" i="13"/>
  <c r="O33" i="13" s="1"/>
  <c r="J33" i="13"/>
  <c r="K33" i="13" s="1"/>
  <c r="N34" i="13" l="1"/>
  <c r="O34" i="13" s="1"/>
  <c r="O35" i="13" s="1"/>
  <c r="C34" i="11" s="1"/>
  <c r="J34" i="13"/>
  <c r="K34" i="13" s="1"/>
  <c r="P33" i="13"/>
  <c r="Q33" i="13" s="1"/>
  <c r="L33" i="13"/>
  <c r="M33" i="13" s="1"/>
  <c r="L34" i="13" l="1"/>
  <c r="M34" i="13" s="1"/>
  <c r="P34" i="13"/>
  <c r="Q34" i="13" s="1"/>
  <c r="K35" i="13"/>
  <c r="C33" i="11" s="1"/>
  <c r="Q35" i="13" l="1"/>
  <c r="C27" i="11" s="1"/>
  <c r="P35" i="13"/>
  <c r="M35" i="13"/>
  <c r="C26" i="11" s="1"/>
  <c r="L35" i="13"/>
  <c r="C30" i="11" l="1"/>
</calcChain>
</file>

<file path=xl/sharedStrings.xml><?xml version="1.0" encoding="utf-8"?>
<sst xmlns="http://schemas.openxmlformats.org/spreadsheetml/2006/main" count="240" uniqueCount="148">
  <si>
    <t>Project Information</t>
  </si>
  <si>
    <t>Daily System/Facility Data</t>
  </si>
  <si>
    <t>With Project</t>
  </si>
  <si>
    <t>Year</t>
  </si>
  <si>
    <t>Annual VHT Savings</t>
  </si>
  <si>
    <t>Value of Delay Savings (2013 $, '000s)</t>
  </si>
  <si>
    <t>Name:</t>
  </si>
  <si>
    <t>Year Open to Traffic?</t>
  </si>
  <si>
    <t>ID Number:</t>
  </si>
  <si>
    <t>Project Life (see MOSER page A.8.9)</t>
  </si>
  <si>
    <t>New HOV?</t>
  </si>
  <si>
    <t>AND</t>
  </si>
  <si>
    <t>Total Cost (2015 $, '000s)</t>
  </si>
  <si>
    <t>Annual PHT Reduction (IDAS)</t>
  </si>
  <si>
    <t>Federal Funding Req. (2015 $, '000s)</t>
  </si>
  <si>
    <t>IDAS Vehicle Occupancy</t>
  </si>
  <si>
    <t>BCA Results</t>
  </si>
  <si>
    <t>Discounted Delay Benefits (2015 $, '000s)</t>
  </si>
  <si>
    <t>Delay B/C Ratio</t>
  </si>
  <si>
    <t>Assumptions</t>
  </si>
  <si>
    <t>Base Year</t>
  </si>
  <si>
    <t>Interim Calculations</t>
  </si>
  <si>
    <t>Discount Rate</t>
  </si>
  <si>
    <t>Annual VHT Reduction (Vehicles)</t>
  </si>
  <si>
    <t>Vehicle Occupancy</t>
  </si>
  <si>
    <t>Value of Travel Time (VoTT)</t>
  </si>
  <si>
    <t>Annual Days of Travel</t>
  </si>
  <si>
    <t>Control Values</t>
  </si>
  <si>
    <t>NO</t>
  </si>
  <si>
    <t>YES</t>
  </si>
  <si>
    <t>Emissions Reduction Estimates</t>
  </si>
  <si>
    <t>VOC Reduced (tonnes/year)</t>
  </si>
  <si>
    <t>Value of VOC Savings (2013 $, '000s)</t>
  </si>
  <si>
    <t>NOx Reduced (tonnes/yr)</t>
  </si>
  <si>
    <t>Value of NOx Savings (2013 $, '000s)</t>
  </si>
  <si>
    <t>Bike/Ped or LCI?</t>
  </si>
  <si>
    <t>VMT Reduced (Daily)</t>
  </si>
  <si>
    <t>OR</t>
  </si>
  <si>
    <t>VOC Emissions Reduced (metric tons/yr)</t>
  </si>
  <si>
    <t>NOx Emissions Reduced (metric tons/yr)</t>
  </si>
  <si>
    <t>Discounted Emissions Benefits (2015 $, '000s)</t>
  </si>
  <si>
    <t>Annualized Cost Effectiveness (2015 $, '000s/tonne)</t>
  </si>
  <si>
    <t>VOC Emissions Factor (g/mi)</t>
  </si>
  <si>
    <t>Nox Emissions Factor (g/mi)</t>
  </si>
  <si>
    <t>Volatile Organic Compounds (VOCs), $ / metric ton (2015 $)</t>
  </si>
  <si>
    <t>Nitrogen oxides (NOx), $ / metric ton (2015 $)</t>
  </si>
  <si>
    <t>INPUTS</t>
  </si>
  <si>
    <t>Project data entered by sponsors</t>
  </si>
  <si>
    <t>Coomuter data derived from Activity-Connectivity Explorer (ACE) - Advanced Viewer</t>
  </si>
  <si>
    <t>Application ID Number:</t>
  </si>
  <si>
    <t>Benefits calculated by this tool</t>
  </si>
  <si>
    <t>MPOID/CSJ #:</t>
  </si>
  <si>
    <t>Project County</t>
  </si>
  <si>
    <t>Harris</t>
  </si>
  <si>
    <t>Proposed Improvements Information</t>
  </si>
  <si>
    <r>
      <t xml:space="preserve">Year Open to Traffic? </t>
    </r>
    <r>
      <rPr>
        <b/>
        <sz val="11"/>
        <color theme="1"/>
        <rFont val="Calibri"/>
        <family val="2"/>
        <scheme val="minor"/>
      </rPr>
      <t>(Must be &gt;=2025)</t>
    </r>
  </si>
  <si>
    <t>Type of Improvement Project</t>
  </si>
  <si>
    <t>Install New Sidewalks</t>
  </si>
  <si>
    <t>Length</t>
  </si>
  <si>
    <t>Applicable Project Service Life (years)</t>
  </si>
  <si>
    <t>Daily VMT Reductions</t>
  </si>
  <si>
    <t>Estimated Total Walking/Bicycling Commuter Daily VMT Reduction with potential mode shift in Year Open to Traffic</t>
  </si>
  <si>
    <t>OUTPUTS</t>
  </si>
  <si>
    <t>Benefit Results</t>
  </si>
  <si>
    <t>Discounted NOx Benefits @ 7% (2021 $)</t>
  </si>
  <si>
    <t>Discounted VOC Benefits @ 7% (2021 $)</t>
  </si>
  <si>
    <t>Total Emissions Benefit Results</t>
  </si>
  <si>
    <t>Discounted Emissions Benefits @ 7% (2021 $)</t>
  </si>
  <si>
    <t>Total Emissions Reductions</t>
  </si>
  <si>
    <t>NOx Emission Reductions (tons)</t>
  </si>
  <si>
    <t>VOC Emission Reductions (tons)</t>
  </si>
  <si>
    <t>Annual Emission Reductions Over Life of Project</t>
  </si>
  <si>
    <t>Growth Rates</t>
  </si>
  <si>
    <t>Demand Growth</t>
  </si>
  <si>
    <t>Use in Analysis?</t>
  </si>
  <si>
    <t>Estimated Daily VMT Reduced</t>
  </si>
  <si>
    <t>NOx (g/day)</t>
  </si>
  <si>
    <t>NOx (Short ton/yr)</t>
  </si>
  <si>
    <t>NOx Emission Reduction Benefit</t>
  </si>
  <si>
    <t>VOC (g/day)</t>
  </si>
  <si>
    <t>VOC (Short ton/yr)</t>
  </si>
  <si>
    <t>VOC Emission Reduction Benefit</t>
  </si>
  <si>
    <t>2021-2030 Demand Growth</t>
  </si>
  <si>
    <t>2030-2045 Demand Growth</t>
  </si>
  <si>
    <t>Estimated Travel Demand Reduced</t>
  </si>
  <si>
    <t>Estimated Daily VMT Reduced in Year Open to traffic</t>
  </si>
  <si>
    <t>Estimated NOx Reductions In Year Open to Traffic (in gms/day)</t>
  </si>
  <si>
    <t>Estimated VOC Reductions In Year Open to Traffic (in Gms/day)</t>
  </si>
  <si>
    <t>Total</t>
  </si>
  <si>
    <t>2020 TIP Call For Projects - Benefit-Cost Analysis Assumptions*</t>
  </si>
  <si>
    <t>Emissions Reduction Values</t>
  </si>
  <si>
    <r>
      <t xml:space="preserve">VOC emissions factor, </t>
    </r>
    <r>
      <rPr>
        <b/>
        <u/>
        <sz val="11"/>
        <color theme="1"/>
        <rFont val="Calibri"/>
        <family val="2"/>
        <scheme val="minor"/>
      </rPr>
      <t>Ped/Bike Projects Only</t>
    </r>
    <r>
      <rPr>
        <sz val="11"/>
        <color theme="1"/>
        <rFont val="Calibri"/>
        <family val="2"/>
        <scheme val="minor"/>
      </rPr>
      <t xml:space="preserve"> (g/VMT)</t>
    </r>
  </si>
  <si>
    <t>Information determined from project inputs</t>
  </si>
  <si>
    <r>
      <t xml:space="preserve">NOx emissions factor, </t>
    </r>
    <r>
      <rPr>
        <b/>
        <u/>
        <sz val="11"/>
        <color theme="1"/>
        <rFont val="Calibri"/>
        <family val="2"/>
        <scheme val="minor"/>
      </rPr>
      <t>Ped/Bike Projects Only</t>
    </r>
    <r>
      <rPr>
        <sz val="11"/>
        <color theme="1"/>
        <rFont val="Calibri"/>
        <family val="2"/>
        <scheme val="minor"/>
      </rPr>
      <t xml:space="preserve"> (g/VMT)</t>
    </r>
  </si>
  <si>
    <t>Improvement Type</t>
  </si>
  <si>
    <t>Applicable Project Life (years)</t>
  </si>
  <si>
    <t>MOSERS indictates a range of 10-12 years. Currently using a range suggested by previous projects.</t>
  </si>
  <si>
    <t>Average Arterial Roadway Speed</t>
  </si>
  <si>
    <t>Judgement estimate from regional model</t>
  </si>
  <si>
    <t>Vehicle Occupancy (BCA Guidance)</t>
  </si>
  <si>
    <t>Number of Days considered in a Year</t>
  </si>
  <si>
    <t>Mode Shift/Conversion Ratio</t>
  </si>
  <si>
    <t>Minimum Length (miles)</t>
  </si>
  <si>
    <t>Auto</t>
  </si>
  <si>
    <t>Bike/Walk Combined</t>
  </si>
  <si>
    <t>Walk</t>
  </si>
  <si>
    <t>Bike</t>
  </si>
  <si>
    <t>Constraint</t>
  </si>
  <si>
    <t>min one walk flow</t>
  </si>
  <si>
    <t>min one bike flow</t>
  </si>
  <si>
    <t>Source: 2019 CTPP Data Product based on 2012-2016 ACS</t>
  </si>
  <si>
    <t>Eligible Counties</t>
  </si>
  <si>
    <t>Brazoria</t>
  </si>
  <si>
    <t>Chambers</t>
  </si>
  <si>
    <t>Fort Bend</t>
  </si>
  <si>
    <t>Galveston</t>
  </si>
  <si>
    <t>Liberty</t>
  </si>
  <si>
    <t>Montgomery</t>
  </si>
  <si>
    <t>Waller</t>
  </si>
  <si>
    <t>NOX</t>
  </si>
  <si>
    <t>VOC/PM2.5</t>
  </si>
  <si>
    <t>SO2</t>
  </si>
  <si>
    <t>CO2</t>
  </si>
  <si>
    <t>All Rates are in gms/mile</t>
  </si>
  <si>
    <t>Facility Type</t>
  </si>
  <si>
    <t>Speed Bin</t>
  </si>
  <si>
    <t>Non-Freeway</t>
  </si>
  <si>
    <t>All emissions rate are in gms/miles</t>
  </si>
  <si>
    <t>All emissions rate are in gms/mile</t>
  </si>
  <si>
    <t>Type of Improvement</t>
  </si>
  <si>
    <t>Project Life (Years)</t>
  </si>
  <si>
    <t>Sidewalk Improvements</t>
  </si>
  <si>
    <t>ADA Ramps</t>
  </si>
  <si>
    <t>Paved Shoulder/Shared Use Path</t>
  </si>
  <si>
    <t>On Street Bicycle Lane</t>
  </si>
  <si>
    <t>Off Street Hike &amp; Bike Trails</t>
  </si>
  <si>
    <t>Pedestrian/Bicycle Bridge/Underpass</t>
  </si>
  <si>
    <t>Growth Rate</t>
  </si>
  <si>
    <t>County Name</t>
  </si>
  <si>
    <t>2023-2030</t>
  </si>
  <si>
    <t>2030-2045</t>
  </si>
  <si>
    <t>Total Daily VMT Reductions (H-GAC ACE)</t>
  </si>
  <si>
    <t>2021 AADT</t>
  </si>
  <si>
    <t>AADT in Year Open to Traffic</t>
  </si>
  <si>
    <t>Discounted VOC Benefit (3.1%)</t>
  </si>
  <si>
    <t>Value of Emissions per Metric Ton, Benefit-Cost Analysis Guidance for
Discretionary Grant Programs</t>
  </si>
  <si>
    <t>https://www.transportation.gov/sites/dot.gov/files/2023-12/Benefit%20Cost%20Analysis%20Guidance%202024%20Update.pdf</t>
  </si>
  <si>
    <t>Discounted NOx Benefit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</si>
</sst>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 numFmtId="168" formatCode="_(* #,##0.0000_);_(* \(#,##0.0000\);_(* &quot;-&quot;????_);_(@_)"/>
    <numFmt numFmtId="169" formatCode="0.000"/>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
      <sz val="10"/>
      <color theme="1"/>
      <name val="Times New Roman"/>
      <family val="1"/>
    </font>
    <font>
      <sz val="11"/>
      <color rgb="FF000000"/>
      <name val="Calibri"/>
      <family val="2"/>
    </font>
    <font>
      <b/>
      <sz val="11"/>
      <color rgb="FF000000"/>
      <name val="Calibri"/>
      <family val="2"/>
    </font>
    <font>
      <sz val="8"/>
      <color rgb="FF000000"/>
      <name val="Calibri"/>
      <family val="2"/>
    </font>
    <font>
      <b/>
      <sz val="11"/>
      <color rgb="FF000000"/>
      <name val="Calibri"/>
      <family val="2"/>
      <scheme val="minor"/>
    </font>
    <font>
      <sz val="11"/>
      <color rgb="FF00000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0" tint="-4.9989318521683403E-2"/>
        <bgColor theme="8" tint="0.59999389629810485"/>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54">
    <xf numFmtId="0" fontId="0" fillId="0" borderId="0" xfId="0"/>
    <xf numFmtId="0" fontId="3" fillId="0" borderId="0" xfId="0" applyFont="1"/>
    <xf numFmtId="0" fontId="4" fillId="0" borderId="0" xfId="0" applyFont="1"/>
    <xf numFmtId="0" fontId="0" fillId="2" borderId="1" xfId="0" applyFill="1" applyBorder="1"/>
    <xf numFmtId="0" fontId="0" fillId="2" borderId="1" xfId="0" applyFill="1" applyBorder="1" applyProtection="1">
      <protection locked="0"/>
    </xf>
    <xf numFmtId="0" fontId="2" fillId="3" borderId="1" xfId="0" applyFont="1" applyFill="1" applyBorder="1"/>
    <xf numFmtId="0" fontId="7"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ill="1" applyBorder="1" applyAlignment="1">
      <alignment horizontal="center"/>
    </xf>
    <xf numFmtId="0" fontId="0" fillId="8" borderId="1" xfId="0"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ill="1" applyBorder="1" applyAlignment="1" applyProtection="1">
      <alignment horizontal="center"/>
      <protection locked="0"/>
    </xf>
    <xf numFmtId="165" fontId="0" fillId="2" borderId="1" xfId="0" applyNumberFormat="1" applyFill="1" applyBorder="1" applyProtection="1">
      <protection locked="0"/>
    </xf>
    <xf numFmtId="0" fontId="7" fillId="9" borderId="1" xfId="0" applyFont="1" applyFill="1" applyBorder="1" applyAlignment="1">
      <alignment horizontal="center"/>
    </xf>
    <xf numFmtId="0" fontId="0" fillId="0" borderId="0" xfId="0" applyAlignment="1">
      <alignment vertical="top"/>
    </xf>
    <xf numFmtId="167" fontId="0" fillId="11" borderId="3" xfId="0" applyNumberFormat="1" applyFill="1" applyBorder="1"/>
    <xf numFmtId="164" fontId="0" fillId="6" borderId="1" xfId="2" applyNumberFormat="1" applyFont="1" applyFill="1" applyBorder="1" applyAlignment="1">
      <alignment horizontal="center"/>
    </xf>
    <xf numFmtId="165" fontId="0" fillId="11" borderId="1" xfId="0" applyNumberFormat="1" applyFill="1" applyBorder="1"/>
    <xf numFmtId="164" fontId="0" fillId="6" borderId="1" xfId="2" applyNumberFormat="1" applyFont="1" applyFill="1" applyBorder="1" applyAlignment="1" applyProtection="1">
      <alignment horizontal="center"/>
    </xf>
    <xf numFmtId="166" fontId="0" fillId="12" borderId="1" xfId="0" applyNumberFormat="1" applyFill="1" applyBorder="1" applyAlignment="1" applyProtection="1">
      <alignment horizontal="center"/>
      <protection locked="0"/>
    </xf>
    <xf numFmtId="164" fontId="0" fillId="7" borderId="1" xfId="2"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2" applyNumberFormat="1" applyFont="1" applyFill="1" applyBorder="1" applyAlignment="1">
      <alignment horizontal="center"/>
    </xf>
    <xf numFmtId="165" fontId="0" fillId="4" borderId="1" xfId="0" applyNumberFormat="1" applyFill="1" applyBorder="1"/>
    <xf numFmtId="166" fontId="0" fillId="11" borderId="1" xfId="0" applyNumberFormat="1" applyFill="1" applyBorder="1" applyProtection="1">
      <protection locked="0"/>
    </xf>
    <xf numFmtId="4" fontId="0" fillId="2" borderId="1" xfId="0" applyNumberFormat="1" applyFill="1" applyBorder="1" applyProtection="1">
      <protection locked="0"/>
    </xf>
    <xf numFmtId="2" fontId="0" fillId="0" borderId="0" xfId="0" applyNumberFormat="1"/>
    <xf numFmtId="0" fontId="0" fillId="0" borderId="1" xfId="0" applyBorder="1"/>
    <xf numFmtId="0" fontId="8" fillId="0" borderId="0" xfId="4" applyAlignment="1" applyProtection="1"/>
    <xf numFmtId="0" fontId="3" fillId="10" borderId="11" xfId="0" applyFont="1" applyFill="1"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xf numFmtId="0" fontId="0" fillId="0" borderId="16" xfId="0" applyBorder="1"/>
    <xf numFmtId="0" fontId="3" fillId="10" borderId="12" xfId="0" applyFont="1" applyFill="1" applyBorder="1"/>
    <xf numFmtId="0" fontId="15" fillId="0" borderId="0" xfId="0" applyFont="1" applyAlignment="1">
      <alignment vertical="center"/>
    </xf>
    <xf numFmtId="10" fontId="13" fillId="0" borderId="1" xfId="0" applyNumberFormat="1" applyFont="1" applyBorder="1" applyAlignment="1">
      <alignment horizontal="right" vertical="center"/>
    </xf>
    <xf numFmtId="0" fontId="13" fillId="0" borderId="11" xfId="0" applyFont="1" applyBorder="1" applyAlignment="1">
      <alignment vertical="center"/>
    </xf>
    <xf numFmtId="0" fontId="14" fillId="0" borderId="23" xfId="0" applyFont="1" applyBorder="1" applyAlignment="1">
      <alignment horizontal="right" vertical="center"/>
    </xf>
    <xf numFmtId="0" fontId="14" fillId="0" borderId="12" xfId="0" applyFont="1" applyBorder="1" applyAlignment="1">
      <alignment horizontal="right" vertical="center"/>
    </xf>
    <xf numFmtId="0" fontId="13" fillId="0" borderId="15" xfId="0" applyFont="1" applyBorder="1" applyAlignment="1">
      <alignment vertical="center"/>
    </xf>
    <xf numFmtId="0" fontId="13" fillId="0" borderId="13" xfId="0" applyFont="1" applyBorder="1" applyAlignment="1">
      <alignment horizontal="right" vertical="center"/>
    </xf>
    <xf numFmtId="10" fontId="13" fillId="0" borderId="17" xfId="0" applyNumberFormat="1" applyFont="1" applyBorder="1" applyAlignment="1">
      <alignment horizontal="right" vertical="center"/>
    </xf>
    <xf numFmtId="0" fontId="13" fillId="0" borderId="14" xfId="0" applyFont="1" applyBorder="1" applyAlignment="1">
      <alignment horizontal="right" vertical="center"/>
    </xf>
    <xf numFmtId="0" fontId="13" fillId="0" borderId="16" xfId="0" applyFont="1" applyBorder="1" applyAlignment="1">
      <alignment vertical="center"/>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6" fontId="0" fillId="0" borderId="0" xfId="0" applyNumberFormat="1" applyAlignment="1">
      <alignment horizontal="center" vertical="center"/>
    </xf>
    <xf numFmtId="6" fontId="0" fillId="0" borderId="19" xfId="0" applyNumberFormat="1" applyBorder="1" applyAlignment="1">
      <alignment horizontal="center" vertical="center"/>
    </xf>
    <xf numFmtId="0" fontId="0" fillId="0" borderId="0" xfId="0" applyAlignment="1">
      <alignment vertical="center"/>
    </xf>
    <xf numFmtId="0" fontId="3" fillId="0" borderId="0" xfId="0" applyFont="1" applyAlignment="1">
      <alignment vertical="center"/>
    </xf>
    <xf numFmtId="0" fontId="0" fillId="0" borderId="1" xfId="0" applyBorder="1" applyAlignment="1">
      <alignment vertical="center"/>
    </xf>
    <xf numFmtId="166" fontId="0" fillId="0" borderId="1" xfId="0" applyNumberFormat="1" applyBorder="1" applyAlignment="1">
      <alignment vertical="center"/>
    </xf>
    <xf numFmtId="0" fontId="0" fillId="0" borderId="1" xfId="0" applyBorder="1" applyAlignment="1">
      <alignment horizontal="right" vertical="center"/>
    </xf>
    <xf numFmtId="0" fontId="0" fillId="0" borderId="0" xfId="0" applyAlignment="1">
      <alignment horizontal="right" vertical="center"/>
    </xf>
    <xf numFmtId="0" fontId="2" fillId="9" borderId="1" xfId="0" applyFont="1" applyFill="1" applyBorder="1" applyAlignment="1">
      <alignment horizontal="left" vertical="center"/>
    </xf>
    <xf numFmtId="0" fontId="0" fillId="11" borderId="1" xfId="0" applyFill="1" applyBorder="1" applyAlignment="1">
      <alignment vertical="center"/>
    </xf>
    <xf numFmtId="0" fontId="3" fillId="0" borderId="23" xfId="0" applyFont="1" applyBorder="1" applyAlignment="1">
      <alignment horizontal="right" vertical="center"/>
    </xf>
    <xf numFmtId="10" fontId="0" fillId="0" borderId="1" xfId="0" applyNumberFormat="1" applyBorder="1" applyAlignment="1">
      <alignment vertical="center"/>
    </xf>
    <xf numFmtId="10" fontId="0" fillId="0" borderId="17" xfId="0" applyNumberFormat="1" applyBorder="1" applyAlignment="1">
      <alignment vertical="center"/>
    </xf>
    <xf numFmtId="0" fontId="12" fillId="0" borderId="0" xfId="0" applyFont="1" applyAlignment="1">
      <alignment vertical="center"/>
    </xf>
    <xf numFmtId="0" fontId="0" fillId="0" borderId="21" xfId="0" applyBorder="1" applyAlignment="1">
      <alignment vertical="center"/>
    </xf>
    <xf numFmtId="2" fontId="0" fillId="0" borderId="9" xfId="0" applyNumberFormat="1" applyBorder="1" applyAlignment="1">
      <alignment vertical="center"/>
    </xf>
    <xf numFmtId="2" fontId="0" fillId="0" borderId="10" xfId="0" applyNumberFormat="1" applyBorder="1" applyAlignment="1">
      <alignment vertical="center"/>
    </xf>
    <xf numFmtId="0" fontId="10" fillId="0" borderId="5" xfId="0" applyFont="1" applyBorder="1" applyAlignment="1">
      <alignment vertical="center"/>
    </xf>
    <xf numFmtId="0" fontId="0" fillId="0" borderId="5" xfId="0" applyBorder="1" applyAlignment="1">
      <alignment vertical="center"/>
    </xf>
    <xf numFmtId="0" fontId="0" fillId="2" borderId="1" xfId="0" applyFill="1" applyBorder="1" applyAlignment="1" applyProtection="1">
      <alignment vertical="center"/>
      <protection locked="0"/>
    </xf>
    <xf numFmtId="0" fontId="0" fillId="0" borderId="0" xfId="0" applyAlignment="1" applyProtection="1">
      <alignment vertical="center"/>
      <protection locked="0"/>
    </xf>
    <xf numFmtId="0" fontId="0" fillId="2" borderId="1" xfId="0" applyFill="1" applyBorder="1" applyAlignment="1">
      <alignment vertical="center"/>
    </xf>
    <xf numFmtId="0" fontId="0" fillId="2" borderId="1" xfId="0" applyFill="1" applyBorder="1" applyAlignment="1" applyProtection="1">
      <alignment horizontal="right" vertical="center"/>
      <protection locked="0"/>
    </xf>
    <xf numFmtId="0" fontId="0" fillId="15" borderId="1" xfId="0" applyFill="1" applyBorder="1" applyAlignment="1" applyProtection="1">
      <alignment vertical="center"/>
      <protection locked="0"/>
    </xf>
    <xf numFmtId="0" fontId="0" fillId="4" borderId="1" xfId="0" applyFill="1" applyBorder="1" applyAlignment="1" applyProtection="1">
      <alignment vertical="center"/>
      <protection locked="0"/>
    </xf>
    <xf numFmtId="0" fontId="6" fillId="0" borderId="0" xfId="0" applyFont="1" applyAlignment="1">
      <alignment vertical="center"/>
    </xf>
    <xf numFmtId="3" fontId="6" fillId="0" borderId="0" xfId="0" applyNumberFormat="1" applyFont="1" applyAlignment="1" applyProtection="1">
      <alignment vertical="center"/>
      <protection locked="0"/>
    </xf>
    <xf numFmtId="3" fontId="0" fillId="0" borderId="0" xfId="0" applyNumberFormat="1" applyAlignment="1" applyProtection="1">
      <alignment vertical="center"/>
      <protection locked="0"/>
    </xf>
    <xf numFmtId="0" fontId="0" fillId="15" borderId="1" xfId="0" applyFill="1" applyBorder="1" applyAlignment="1" applyProtection="1">
      <alignment vertical="center" wrapText="1"/>
      <protection locked="0"/>
    </xf>
    <xf numFmtId="0" fontId="0" fillId="0" borderId="0" xfId="0" applyAlignment="1" applyProtection="1">
      <alignment vertical="center" wrapText="1"/>
      <protection locked="0"/>
    </xf>
    <xf numFmtId="0" fontId="10" fillId="0" borderId="0" xfId="0" applyFont="1" applyAlignment="1">
      <alignment vertical="center"/>
    </xf>
    <xf numFmtId="0" fontId="0" fillId="4" borderId="1" xfId="0" applyFill="1" applyBorder="1" applyAlignment="1">
      <alignment vertical="center"/>
    </xf>
    <xf numFmtId="0" fontId="0" fillId="2" borderId="1" xfId="0" applyFill="1" applyBorder="1" applyAlignment="1">
      <alignment vertical="center" wrapText="1"/>
    </xf>
    <xf numFmtId="0" fontId="0" fillId="0" borderId="0" xfId="0" applyAlignment="1">
      <alignment vertical="center" wrapText="1"/>
    </xf>
    <xf numFmtId="0" fontId="0" fillId="0" borderId="0" xfId="0" applyAlignment="1" applyProtection="1">
      <alignment horizontal="right" vertical="center"/>
      <protection locked="0"/>
    </xf>
    <xf numFmtId="0" fontId="0" fillId="15" borderId="1" xfId="0" applyFill="1" applyBorder="1" applyAlignment="1">
      <alignment vertical="center"/>
    </xf>
    <xf numFmtId="0" fontId="16" fillId="0" borderId="1" xfId="0" applyFont="1" applyBorder="1"/>
    <xf numFmtId="0" fontId="17" fillId="0" borderId="1" xfId="0" applyFont="1" applyBorder="1"/>
    <xf numFmtId="0" fontId="2" fillId="5" borderId="1" xfId="0" applyFont="1" applyFill="1" applyBorder="1" applyAlignment="1">
      <alignment vertical="center"/>
    </xf>
    <xf numFmtId="0" fontId="0" fillId="0" borderId="0" xfId="0" applyAlignment="1">
      <alignment horizontal="left" vertical="center"/>
    </xf>
    <xf numFmtId="3" fontId="0" fillId="0" borderId="0" xfId="0" applyNumberFormat="1" applyAlignment="1">
      <alignment vertical="center"/>
    </xf>
    <xf numFmtId="3" fontId="0" fillId="15" borderId="1" xfId="0" applyNumberFormat="1" applyFill="1" applyBorder="1" applyAlignment="1">
      <alignment vertical="center"/>
    </xf>
    <xf numFmtId="165" fontId="0" fillId="4" borderId="1" xfId="0" applyNumberFormat="1" applyFill="1" applyBorder="1" applyAlignment="1">
      <alignment horizontal="left" vertical="center"/>
    </xf>
    <xf numFmtId="165" fontId="0" fillId="0" borderId="0" xfId="0" applyNumberFormat="1" applyAlignment="1">
      <alignment horizontal="left" vertical="center"/>
    </xf>
    <xf numFmtId="43" fontId="0" fillId="4" borderId="1" xfId="1" applyFont="1" applyFill="1" applyBorder="1" applyAlignment="1" applyProtection="1">
      <alignment horizontal="left" vertical="center"/>
    </xf>
    <xf numFmtId="10" fontId="0" fillId="0" borderId="0" xfId="3" applyNumberFormat="1" applyFont="1" applyAlignment="1" applyProtection="1">
      <alignment wrapText="1"/>
    </xf>
    <xf numFmtId="10" fontId="2" fillId="9" borderId="1" xfId="3" applyNumberFormat="1" applyFont="1" applyFill="1" applyBorder="1" applyAlignment="1" applyProtection="1">
      <alignment horizontal="center" wrapText="1"/>
    </xf>
    <xf numFmtId="10" fontId="0" fillId="0" borderId="0" xfId="3" applyNumberFormat="1" applyFont="1" applyProtection="1"/>
    <xf numFmtId="10" fontId="0" fillId="11" borderId="1" xfId="3" applyNumberFormat="1" applyFont="1" applyFill="1" applyBorder="1" applyAlignment="1" applyProtection="1">
      <alignment horizontal="center"/>
    </xf>
    <xf numFmtId="43" fontId="0" fillId="0" borderId="1" xfId="1" applyFont="1" applyBorder="1" applyProtection="1"/>
    <xf numFmtId="168" fontId="0" fillId="0" borderId="1" xfId="1" applyNumberFormat="1" applyFont="1" applyBorder="1" applyProtection="1"/>
    <xf numFmtId="44" fontId="0" fillId="0" borderId="1" xfId="2" applyFont="1" applyBorder="1" applyProtection="1"/>
    <xf numFmtId="44" fontId="0" fillId="14" borderId="1" xfId="2" applyFont="1" applyFill="1" applyBorder="1" applyProtection="1"/>
    <xf numFmtId="10" fontId="0" fillId="0" borderId="0" xfId="3" applyNumberFormat="1" applyFont="1" applyFill="1" applyBorder="1" applyProtection="1"/>
    <xf numFmtId="10" fontId="0" fillId="13" borderId="1" xfId="3" applyNumberFormat="1" applyFont="1" applyFill="1" applyBorder="1" applyAlignment="1" applyProtection="1">
      <alignment horizontal="center"/>
    </xf>
    <xf numFmtId="0" fontId="0" fillId="0" borderId="0" xfId="0" applyProtection="1">
      <protection locked="0"/>
    </xf>
    <xf numFmtId="3" fontId="0" fillId="0" borderId="0" xfId="0" applyNumberFormat="1" applyProtection="1">
      <protection locked="0"/>
    </xf>
    <xf numFmtId="10" fontId="0" fillId="0" borderId="1" xfId="0" applyNumberFormat="1" applyBorder="1" applyAlignment="1">
      <alignment horizontal="center"/>
    </xf>
    <xf numFmtId="0" fontId="3" fillId="10" borderId="1" xfId="0" applyFont="1" applyFill="1" applyBorder="1"/>
    <xf numFmtId="10" fontId="0" fillId="0" borderId="1" xfId="0" applyNumberFormat="1" applyBorder="1"/>
    <xf numFmtId="0" fontId="0" fillId="0" borderId="0" xfId="0" applyAlignment="1" applyProtection="1">
      <alignment wrapText="1"/>
      <protection locked="0"/>
    </xf>
    <xf numFmtId="10" fontId="0" fillId="0" borderId="0" xfId="3" applyNumberFormat="1" applyFont="1" applyProtection="1">
      <protection locked="0"/>
    </xf>
    <xf numFmtId="2" fontId="0" fillId="0" borderId="0" xfId="0" applyNumberFormat="1" applyProtection="1">
      <protection locked="0"/>
    </xf>
    <xf numFmtId="10" fontId="0" fillId="11" borderId="1" xfId="3" applyNumberFormat="1" applyFont="1" applyFill="1" applyBorder="1" applyProtection="1">
      <protection locked="0"/>
    </xf>
    <xf numFmtId="43" fontId="0" fillId="0" borderId="0" xfId="0" applyNumberFormat="1" applyProtection="1">
      <protection locked="0"/>
    </xf>
    <xf numFmtId="0" fontId="0" fillId="0" borderId="0" xfId="0" applyAlignment="1">
      <alignment wrapText="1"/>
    </xf>
    <xf numFmtId="0" fontId="2" fillId="9" borderId="8" xfId="0" applyFont="1" applyFill="1" applyBorder="1" applyAlignment="1">
      <alignment horizontal="left" wrapText="1"/>
    </xf>
    <xf numFmtId="0" fontId="2" fillId="9" borderId="1" xfId="0" applyFont="1" applyFill="1" applyBorder="1" applyAlignment="1">
      <alignment horizontal="center" wrapText="1"/>
    </xf>
    <xf numFmtId="0" fontId="2" fillId="9" borderId="2" xfId="0" applyFont="1" applyFill="1" applyBorder="1" applyAlignment="1">
      <alignment horizontal="center" wrapText="1"/>
    </xf>
    <xf numFmtId="0" fontId="2" fillId="9" borderId="6" xfId="0" applyFont="1" applyFill="1" applyBorder="1" applyAlignment="1">
      <alignment horizontal="center" wrapText="1"/>
    </xf>
    <xf numFmtId="0" fontId="2" fillId="9" borderId="4" xfId="0" applyFont="1" applyFill="1" applyBorder="1" applyAlignment="1">
      <alignment horizontal="center" wrapText="1"/>
    </xf>
    <xf numFmtId="0" fontId="0" fillId="11" borderId="1" xfId="0" applyFill="1" applyBorder="1" applyAlignment="1">
      <alignment wrapText="1"/>
    </xf>
    <xf numFmtId="0" fontId="0" fillId="13" borderId="1" xfId="0" applyFill="1" applyBorder="1" applyAlignment="1">
      <alignment horizontal="center"/>
    </xf>
    <xf numFmtId="3" fontId="0" fillId="6" borderId="1" xfId="0" applyNumberFormat="1" applyFill="1" applyBorder="1" applyAlignment="1">
      <alignment horizontal="center"/>
    </xf>
    <xf numFmtId="0" fontId="2" fillId="9" borderId="1" xfId="0" applyFont="1" applyFill="1" applyBorder="1" applyAlignment="1">
      <alignment wrapText="1"/>
    </xf>
    <xf numFmtId="0" fontId="11" fillId="0" borderId="1" xfId="0" applyFont="1" applyBorder="1" applyAlignment="1">
      <alignment wrapText="1"/>
    </xf>
    <xf numFmtId="3" fontId="6" fillId="0" borderId="1" xfId="0" applyNumberFormat="1" applyFont="1" applyBorder="1"/>
    <xf numFmtId="0" fontId="11" fillId="0" borderId="0" xfId="0" applyFont="1" applyAlignment="1">
      <alignment wrapText="1"/>
    </xf>
    <xf numFmtId="3" fontId="6" fillId="0" borderId="0" xfId="0" applyNumberFormat="1" applyFont="1"/>
    <xf numFmtId="0" fontId="0" fillId="0" borderId="1" xfId="0" applyBorder="1" applyProtection="1">
      <protection locked="0"/>
    </xf>
    <xf numFmtId="3" fontId="0" fillId="0" borderId="1" xfId="0" applyNumberFormat="1" applyBorder="1" applyAlignment="1" applyProtection="1">
      <alignment horizontal="center" vertical="center"/>
      <protection locked="0"/>
    </xf>
    <xf numFmtId="0" fontId="0" fillId="0" borderId="1" xfId="0" applyBorder="1" applyAlignment="1" applyProtection="1">
      <alignment wrapText="1"/>
      <protection locked="0"/>
    </xf>
    <xf numFmtId="10" fontId="0" fillId="0" borderId="1" xfId="0" applyNumberFormat="1" applyBorder="1" applyAlignment="1" applyProtection="1">
      <alignment horizontal="center" vertical="center"/>
      <protection locked="0"/>
    </xf>
    <xf numFmtId="10" fontId="0" fillId="0" borderId="0" xfId="0" applyNumberFormat="1" applyAlignment="1">
      <alignment horizontal="center"/>
    </xf>
    <xf numFmtId="10" fontId="0" fillId="0" borderId="0" xfId="0" applyNumberFormat="1"/>
    <xf numFmtId="169" fontId="0" fillId="0" borderId="0" xfId="0" applyNumberFormat="1" applyProtection="1">
      <protection locked="0"/>
    </xf>
    <xf numFmtId="0" fontId="0" fillId="0" borderId="24" xfId="0" applyBorder="1" applyAlignment="1">
      <alignment horizontal="center" vertical="center"/>
    </xf>
    <xf numFmtId="6" fontId="0" fillId="0" borderId="5" xfId="0" applyNumberFormat="1" applyBorder="1" applyAlignment="1">
      <alignment horizontal="center" vertical="center"/>
    </xf>
    <xf numFmtId="6" fontId="0" fillId="0" borderId="25" xfId="0" applyNumberFormat="1" applyBorder="1" applyAlignment="1">
      <alignment horizontal="center" vertic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0" fillId="0" borderId="7" xfId="0" applyBorder="1" applyAlignment="1">
      <alignment horizontal="left" vertical="center" wrapText="1"/>
    </xf>
    <xf numFmtId="0" fontId="3" fillId="0" borderId="1" xfId="0" applyFont="1" applyBorder="1" applyAlignment="1">
      <alignment horizontal="center"/>
    </xf>
    <xf numFmtId="0" fontId="2" fillId="16" borderId="5" xfId="0" applyFont="1" applyFill="1" applyBorder="1" applyAlignment="1" applyProtection="1">
      <alignment horizontal="center"/>
      <protection locked="0"/>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278424</xdr:colOff>
      <xdr:row>46</xdr:row>
      <xdr:rowOff>76201</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0" y="0"/>
          <a:ext cx="9709295" cy="8323730"/>
          <a:chOff x="131884" y="117230"/>
          <a:chExt cx="9709639" cy="8434755"/>
        </a:xfrm>
      </xdr:grpSpPr>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131884" y="117230"/>
            <a:ext cx="9709639" cy="8434755"/>
          </a:xfrm>
          <a:prstGeom prst="rect">
            <a:avLst/>
          </a:prstGeom>
          <a:solidFill>
            <a:schemeClr val="bg1">
              <a:lumMod val="95000"/>
            </a:schemeClr>
          </a:solidFill>
          <a:ln w="9525">
            <a:solidFill>
              <a:schemeClr val="accent1">
                <a:lumMod val="50000"/>
              </a:schemeClr>
            </a:solidFill>
            <a:miter lim="800000"/>
            <a:headEnd/>
            <a:tailEnd/>
          </a:ln>
        </xdr:spPr>
        <xdr:txBody>
          <a:bodyPr vertOverflow="clip" wrap="square" lIns="91440" tIns="45720" rIns="91440" bIns="45720" anchor="t" upright="1"/>
          <a:lstStyle/>
          <a:p>
            <a:r>
              <a:rPr lang="en-US" sz="1100" b="1">
                <a:effectLst/>
                <a:latin typeface="+mn-lt"/>
                <a:ea typeface="+mn-ea"/>
                <a:cs typeface="+mn-cs"/>
              </a:rPr>
              <a:t>Instructions: </a:t>
            </a:r>
            <a:endParaRPr lang="en-US" sz="1100">
              <a:effectLst/>
              <a:latin typeface="+mn-lt"/>
              <a:ea typeface="+mn-ea"/>
              <a:cs typeface="+mn-cs"/>
            </a:endParaRPr>
          </a:p>
          <a:p>
            <a:r>
              <a:rPr lang="en-US" sz="1100">
                <a:effectLst/>
                <a:latin typeface="+mn-lt"/>
                <a:ea typeface="+mn-ea"/>
                <a:cs typeface="+mn-cs"/>
              </a:rPr>
              <a:t>On the "Inputs &amp; Outputs" tab, fill in all "blue and green" shaded sections (Project Information, Proposed Improvement Information, and Daily Travel Demand). </a:t>
            </a:r>
          </a:p>
          <a:p>
            <a:endParaRPr lang="en-US" sz="1100">
              <a:effectLst/>
              <a:latin typeface="+mn-lt"/>
              <a:ea typeface="+mn-ea"/>
              <a:cs typeface="+mn-cs"/>
            </a:endParaRPr>
          </a:p>
          <a:p>
            <a:r>
              <a:rPr lang="en-US" sz="1100">
                <a:effectLst/>
                <a:latin typeface="+mn-lt"/>
                <a:ea typeface="+mn-ea"/>
                <a:cs typeface="+mn-cs"/>
              </a:rPr>
              <a:t>Project Information:</a:t>
            </a:r>
          </a:p>
          <a:p>
            <a:r>
              <a:rPr lang="en-US" sz="1100" i="1">
                <a:effectLst/>
                <a:latin typeface="+mn-lt"/>
                <a:ea typeface="+mn-ea"/>
                <a:cs typeface="+mn-cs"/>
              </a:rPr>
              <a:t>	Project Title: </a:t>
            </a:r>
            <a:r>
              <a:rPr lang="en-US" sz="1100">
                <a:effectLst/>
                <a:latin typeface="+mn-lt"/>
                <a:ea typeface="+mn-ea"/>
                <a:cs typeface="+mn-cs"/>
              </a:rPr>
              <a:t>Enter proposed project name/Title.</a:t>
            </a:r>
          </a:p>
          <a:p>
            <a:r>
              <a:rPr lang="en-US" sz="1100">
                <a:effectLst/>
                <a:latin typeface="+mn-lt"/>
                <a:ea typeface="+mn-ea"/>
                <a:cs typeface="+mn-cs"/>
              </a:rPr>
              <a:t>	</a:t>
            </a:r>
            <a:r>
              <a:rPr lang="en-US" sz="1100" i="1">
                <a:effectLst/>
                <a:latin typeface="+mn-lt"/>
                <a:ea typeface="+mn-ea"/>
                <a:cs typeface="+mn-cs"/>
              </a:rPr>
              <a:t>Application ID Number: </a:t>
            </a:r>
            <a:r>
              <a:rPr lang="en-US" sz="1100">
                <a:effectLst/>
                <a:latin typeface="+mn-lt"/>
                <a:ea typeface="+mn-ea"/>
                <a:cs typeface="+mn-cs"/>
              </a:rPr>
              <a:t>Enter online project ID number. </a:t>
            </a:r>
          </a:p>
          <a:p>
            <a:r>
              <a:rPr lang="en-US" sz="1100" i="1">
                <a:effectLst/>
                <a:latin typeface="+mn-lt"/>
                <a:ea typeface="+mn-ea"/>
                <a:cs typeface="+mn-cs"/>
              </a:rPr>
              <a:t>	County:</a:t>
            </a:r>
            <a:r>
              <a:rPr lang="en-US" sz="1100">
                <a:effectLst/>
                <a:latin typeface="+mn-lt"/>
                <a:ea typeface="+mn-ea"/>
                <a:cs typeface="+mn-cs"/>
              </a:rPr>
              <a:t> Select project county from the drop-down list.  If the proposed roadway project is in more than one county, then select the county that 	contains majority of the project area.</a:t>
            </a:r>
          </a:p>
          <a:p>
            <a:endParaRPr lang="en-US" sz="1100">
              <a:effectLst/>
              <a:latin typeface="+mn-lt"/>
              <a:ea typeface="+mn-ea"/>
              <a:cs typeface="+mn-cs"/>
            </a:endParaRPr>
          </a:p>
          <a:p>
            <a:r>
              <a:rPr lang="en-US" sz="1100">
                <a:effectLst/>
                <a:latin typeface="+mn-lt"/>
                <a:ea typeface="+mn-ea"/>
                <a:cs typeface="+mn-cs"/>
              </a:rPr>
              <a:t>Proposed Improvement Information:</a:t>
            </a:r>
          </a:p>
          <a:p>
            <a:r>
              <a:rPr lang="en-US" sz="1100" i="1">
                <a:effectLst/>
                <a:latin typeface="+mn-lt"/>
                <a:ea typeface="+mn-ea"/>
                <a:cs typeface="+mn-cs"/>
              </a:rPr>
              <a:t>	Year Open to Traffic? Must be &gt;=2025</a:t>
            </a:r>
            <a:r>
              <a:rPr lang="en-US" sz="1100">
                <a:effectLst/>
                <a:latin typeface="+mn-lt"/>
                <a:ea typeface="+mn-ea"/>
                <a:cs typeface="+mn-cs"/>
              </a:rPr>
              <a:t>: Select Open to Traffic from the drop-down list. </a:t>
            </a:r>
          </a:p>
          <a:p>
            <a:r>
              <a:rPr lang="en-US" sz="1100" i="1">
                <a:effectLst/>
                <a:latin typeface="+mn-lt"/>
                <a:ea typeface="+mn-ea"/>
                <a:cs typeface="+mn-cs"/>
              </a:rPr>
              <a:t>	Type of Improvement</a:t>
            </a:r>
            <a:r>
              <a:rPr lang="en-US" sz="1100">
                <a:effectLst/>
                <a:latin typeface="+mn-lt"/>
                <a:ea typeface="+mn-ea"/>
                <a:cs typeface="+mn-cs"/>
              </a:rPr>
              <a:t>: Select proposed improvement from the drop-down list. If more than one, improvements are proposed select the one with the 	longest service life. </a:t>
            </a:r>
          </a:p>
          <a:p>
            <a:r>
              <a:rPr lang="en-US" sz="1100" i="1">
                <a:effectLst/>
                <a:latin typeface="+mn-lt"/>
                <a:ea typeface="+mn-ea"/>
                <a:cs typeface="+mn-cs"/>
              </a:rPr>
              <a:t>	Average One-way Walking/Bicycling Commuter Trip Length (in Miles): </a:t>
            </a:r>
            <a:r>
              <a:rPr lang="en-US" sz="1100">
                <a:effectLst/>
                <a:latin typeface="+mn-lt"/>
                <a:ea typeface="+mn-ea"/>
                <a:cs typeface="+mn-cs"/>
              </a:rPr>
              <a:t>Enter average walking/bicycling commuter trip length in miles.</a:t>
            </a:r>
          </a:p>
          <a:p>
            <a:r>
              <a:rPr lang="en-US" sz="1100" i="1">
                <a:effectLst/>
                <a:latin typeface="+mn-lt"/>
                <a:ea typeface="+mn-ea"/>
                <a:cs typeface="+mn-cs"/>
              </a:rPr>
              <a:t>	Applicable Project Service Life (years):</a:t>
            </a:r>
            <a:r>
              <a:rPr lang="en-US" sz="1100">
                <a:effectLst/>
                <a:latin typeface="+mn-lt"/>
                <a:ea typeface="+mn-ea"/>
                <a:cs typeface="+mn-cs"/>
              </a:rPr>
              <a:t> Applicable project service life will be populated based in the type of improvement selected.</a:t>
            </a:r>
          </a:p>
          <a:p>
            <a:r>
              <a:rPr lang="en-US" sz="1100">
                <a:effectLst/>
                <a:latin typeface="+mn-lt"/>
                <a:ea typeface="+mn-ea"/>
                <a:cs typeface="+mn-cs"/>
              </a:rPr>
              <a:t>	 </a:t>
            </a:r>
          </a:p>
          <a:p>
            <a:r>
              <a:rPr lang="en-US" sz="1100">
                <a:effectLst/>
                <a:latin typeface="+mn-lt"/>
                <a:ea typeface="+mn-ea"/>
                <a:cs typeface="+mn-cs"/>
              </a:rPr>
              <a:t>Daily VMT Reductions:</a:t>
            </a:r>
          </a:p>
          <a:p>
            <a:r>
              <a:rPr lang="en-US" sz="1100" i="1">
                <a:effectLst/>
                <a:latin typeface="+mn-lt"/>
                <a:ea typeface="+mn-ea"/>
                <a:cs typeface="+mn-cs"/>
              </a:rPr>
              <a:t>	Total Daily VMT Reductions (H-GAC ACE):</a:t>
            </a:r>
            <a:r>
              <a:rPr lang="en-US" sz="1100" i="1" baseline="0">
                <a:effectLst/>
                <a:latin typeface="+mn-lt"/>
                <a:ea typeface="+mn-ea"/>
                <a:cs typeface="+mn-cs"/>
              </a:rPr>
              <a:t> </a:t>
            </a:r>
            <a:r>
              <a:rPr lang="en-US" sz="1100">
                <a:effectLst/>
                <a:latin typeface="+mn-lt"/>
                <a:ea typeface="+mn-ea"/>
                <a:cs typeface="+mn-cs"/>
              </a:rPr>
              <a:t>Enter the Total Daily VMT Reduction values.  Total Daily VMT reductions are available</a:t>
            </a:r>
            <a:r>
              <a:rPr lang="en-US" sz="1100" baseline="0">
                <a:effectLst/>
                <a:latin typeface="+mn-lt"/>
                <a:ea typeface="+mn-ea"/>
                <a:cs typeface="+mn-cs"/>
              </a:rPr>
              <a:t> at </a:t>
            </a:r>
            <a:r>
              <a:rPr lang="en-US" sz="1100">
                <a:effectLst/>
                <a:latin typeface="+mn-lt"/>
                <a:ea typeface="+mn-ea"/>
                <a:cs typeface="+mn-cs"/>
              </a:rPr>
              <a:t>the ped-bike 	commuter analysis data on Activity-Connectivity Explorer (ACE) advanced viewer interactive web application available online at </a:t>
            </a:r>
            <a:r>
              <a:rPr lang="en-US" sz="1100" u="sng">
                <a:effectLst/>
                <a:latin typeface="+mn-lt"/>
                <a:ea typeface="+mn-ea"/>
                <a:cs typeface="+mn-cs"/>
                <a:hlinkClick xmlns:r="http://schemas.openxmlformats.org/officeDocument/2006/relationships" r:id=""/>
              </a:rPr>
              <a:t>https://www.h-	gac.com/interactive-web-applications</a:t>
            </a:r>
            <a:r>
              <a:rPr lang="en-US" sz="1100">
                <a:effectLst/>
                <a:latin typeface="+mn-lt"/>
                <a:ea typeface="+mn-ea"/>
                <a:cs typeface="+mn-cs"/>
              </a:rPr>
              <a:t>.</a:t>
            </a:r>
          </a:p>
          <a:p>
            <a:endParaRPr lang="en-US" sz="1100">
              <a:effectLst/>
              <a:latin typeface="+mn-lt"/>
              <a:ea typeface="+mn-ea"/>
              <a:cs typeface="+mn-cs"/>
            </a:endParaRPr>
          </a:p>
          <a:p>
            <a:r>
              <a:rPr lang="en-US" sz="1100" i="1" baseline="0">
                <a:effectLst/>
                <a:latin typeface="+mn-lt"/>
                <a:ea typeface="+mn-ea"/>
                <a:cs typeface="+mn-cs"/>
              </a:rPr>
              <a:t>Ped-Bike Commuter Analysis Data: </a:t>
            </a:r>
            <a:endParaRPr lang="en-US">
              <a:effectLst/>
            </a:endParaRPr>
          </a:p>
          <a:p>
            <a:r>
              <a:rPr lang="en-US" sz="1100" i="1" baseline="0">
                <a:effectLst/>
                <a:latin typeface="+mn-lt"/>
                <a:ea typeface="+mn-ea"/>
                <a:cs typeface="+mn-cs"/>
              </a:rPr>
              <a:t>	</a:t>
            </a:r>
            <a:r>
              <a:rPr lang="en-US" sz="1100">
                <a:effectLst/>
                <a:latin typeface="+mn-lt"/>
                <a:ea typeface="+mn-ea"/>
                <a:cs typeface="+mn-cs"/>
              </a:rPr>
              <a:t>Open Activity-Connectivity Explorer (ACE) Advance viewer interactive web app on H-GAC website </a:t>
            </a:r>
            <a:r>
              <a:rPr lang="en-US" sz="1100" u="sng">
                <a:effectLst/>
                <a:latin typeface="+mn-lt"/>
                <a:ea typeface="+mn-ea"/>
                <a:cs typeface="+mn-cs"/>
              </a:rPr>
              <a:t>https://datalab.h-gac.com/ace/</a:t>
            </a:r>
            <a:r>
              <a:rPr lang="en-US" sz="1100">
                <a:effectLst/>
                <a:latin typeface="+mn-lt"/>
                <a:ea typeface="+mn-ea"/>
                <a:cs typeface="+mn-cs"/>
              </a:rPr>
              <a:t> </a:t>
            </a:r>
            <a:endParaRPr lang="en-US">
              <a:effectLst/>
            </a:endParaRPr>
          </a:p>
          <a:p>
            <a:r>
              <a:rPr lang="en-US" sz="1100">
                <a:effectLst/>
                <a:latin typeface="+mn-lt"/>
                <a:ea typeface="+mn-ea"/>
                <a:cs typeface="+mn-cs"/>
              </a:rPr>
              <a:t>	Click on location analysis widget  </a:t>
            </a:r>
            <a:endParaRPr lang="en-US">
              <a:effectLst/>
            </a:endParaRPr>
          </a:p>
          <a:p>
            <a:r>
              <a:rPr lang="en-US" sz="1100">
                <a:effectLst/>
                <a:latin typeface="+mn-lt"/>
                <a:ea typeface="+mn-ea"/>
                <a:cs typeface="+mn-cs"/>
              </a:rPr>
              <a:t>	Draw point or line  at project location on the map</a:t>
            </a:r>
            <a:endParaRPr lang="en-US">
              <a:effectLst/>
            </a:endParaRPr>
          </a:p>
          <a:p>
            <a:r>
              <a:rPr lang="en-US" sz="1100">
                <a:effectLst/>
                <a:latin typeface="+mn-lt"/>
                <a:ea typeface="+mn-ea"/>
                <a:cs typeface="+mn-cs"/>
              </a:rPr>
              <a:t>	Set the buffer distance as 0.25 miles</a:t>
            </a:r>
            <a:endParaRPr lang="en-US">
              <a:effectLst/>
            </a:endParaRPr>
          </a:p>
          <a:p>
            <a:r>
              <a:rPr lang="en-US" sz="1100">
                <a:effectLst/>
                <a:latin typeface="+mn-lt"/>
                <a:ea typeface="+mn-ea"/>
                <a:cs typeface="+mn-cs"/>
              </a:rPr>
              <a:t>	Click on Ped-Bike Commuter Analysis tab on the data table at the bottom on the webpage</a:t>
            </a:r>
            <a:endParaRPr lang="en-US">
              <a:effectLst/>
            </a:endParaRPr>
          </a:p>
          <a:p>
            <a:r>
              <a:rPr lang="en-US" sz="1100" baseline="0">
                <a:effectLst/>
                <a:latin typeface="+mn-lt"/>
                <a:ea typeface="+mn-ea"/>
                <a:cs typeface="+mn-cs"/>
              </a:rPr>
              <a:t>	</a:t>
            </a:r>
            <a:endParaRPr lang="en-US" sz="1100">
              <a:effectLst/>
              <a:latin typeface="+mn-lt"/>
              <a:ea typeface="+mn-ea"/>
              <a:cs typeface="+mn-cs"/>
            </a:endParaRPr>
          </a:p>
          <a:p>
            <a:r>
              <a:rPr lang="en-US" sz="1100">
                <a:effectLst/>
                <a:latin typeface="+mn-lt"/>
                <a:ea typeface="+mn-ea"/>
                <a:cs typeface="+mn-cs"/>
              </a:rPr>
              <a:t> </a:t>
            </a:r>
          </a:p>
          <a:p>
            <a:endParaRPr lang="en-US" sz="1100">
              <a:effectLst/>
              <a:latin typeface="+mn-lt"/>
              <a:ea typeface="+mn-ea"/>
              <a:cs typeface="+mn-cs"/>
            </a:endParaRPr>
          </a:p>
          <a:p>
            <a:endParaRPr lang="en-US" sz="1100">
              <a:effectLst/>
              <a:latin typeface="+mn-lt"/>
              <a:ea typeface="+mn-ea"/>
              <a:cs typeface="+mn-cs"/>
            </a:endParaRPr>
          </a:p>
          <a:p>
            <a:endParaRPr lang="en-US" sz="1100">
              <a:effectLst/>
              <a:latin typeface="+mn-lt"/>
              <a:ea typeface="+mn-ea"/>
              <a:cs typeface="+mn-cs"/>
            </a:endParaRPr>
          </a:p>
          <a:p>
            <a:r>
              <a:rPr lang="en-US" sz="1100">
                <a:effectLst/>
                <a:latin typeface="+mn-lt"/>
                <a:ea typeface="+mn-ea"/>
                <a:cs typeface="+mn-cs"/>
              </a:rPr>
              <a:t> Daily Travel Demand:</a:t>
            </a:r>
          </a:p>
          <a:p>
            <a:r>
              <a:rPr lang="en-US" sz="1100" i="1">
                <a:effectLst/>
                <a:latin typeface="+mn-lt"/>
                <a:ea typeface="+mn-ea"/>
                <a:cs typeface="+mn-cs"/>
              </a:rPr>
              <a:t>	2022 Average Traffic Volume (AADT): </a:t>
            </a:r>
            <a:r>
              <a:rPr lang="en-US" sz="1100">
                <a:effectLst/>
                <a:latin typeface="+mn-lt"/>
                <a:ea typeface="+mn-ea"/>
                <a:cs typeface="+mn-cs"/>
              </a:rPr>
              <a:t>Sponsors may enter the AADT from latest traffic counts available form TxDOT’s traffic count data, or 	sponsors may choose to collect the traffic counts and enter collected traffic count data</a:t>
            </a:r>
            <a:r>
              <a:rPr lang="en-US" sz="1100" i="1">
                <a:effectLst/>
                <a:latin typeface="+mn-lt"/>
                <a:ea typeface="+mn-ea"/>
                <a:cs typeface="+mn-cs"/>
              </a:rPr>
              <a:t>.</a:t>
            </a:r>
            <a:endParaRPr lang="en-US" sz="1100">
              <a:effectLst/>
              <a:latin typeface="+mn-lt"/>
              <a:ea typeface="+mn-ea"/>
              <a:cs typeface="+mn-cs"/>
            </a:endParaRPr>
          </a:p>
          <a:p>
            <a:r>
              <a:rPr lang="en-US" sz="1100" i="1">
                <a:effectLst/>
                <a:latin typeface="+mn-lt"/>
                <a:ea typeface="+mn-ea"/>
                <a:cs typeface="+mn-cs"/>
              </a:rPr>
              <a:t>	Estimated 2023 Daily Traffic Volume (both directions): </a:t>
            </a:r>
            <a:r>
              <a:rPr lang="en-US" sz="1100">
                <a:effectLst/>
                <a:latin typeface="+mn-lt"/>
                <a:ea typeface="+mn-ea"/>
                <a:cs typeface="+mn-cs"/>
              </a:rPr>
              <a:t>Enter estimated daily traffic volume data.  Regional travel demand model data  	provided by H-GAC upon sponsor’s request.</a:t>
            </a:r>
            <a:r>
              <a:rPr lang="en-US" sz="1100" i="1">
                <a:effectLst/>
                <a:latin typeface="+mn-lt"/>
                <a:ea typeface="+mn-ea"/>
                <a:cs typeface="+mn-cs"/>
              </a:rPr>
              <a:t> </a:t>
            </a:r>
            <a:endParaRPr lang="en-US" sz="1100">
              <a:effectLst/>
              <a:latin typeface="+mn-lt"/>
              <a:ea typeface="+mn-ea"/>
              <a:cs typeface="+mn-cs"/>
            </a:endParaRPr>
          </a:p>
          <a:p>
            <a:r>
              <a:rPr lang="en-US" sz="1100" i="1">
                <a:effectLst/>
                <a:latin typeface="+mn-lt"/>
                <a:ea typeface="+mn-ea"/>
                <a:cs typeface="+mn-cs"/>
              </a:rPr>
              <a:t>	Estimate 2030 Daily Traffic Volume (both directions): </a:t>
            </a:r>
            <a:r>
              <a:rPr lang="en-US" sz="1100">
                <a:effectLst/>
                <a:latin typeface="+mn-lt"/>
                <a:ea typeface="+mn-ea"/>
                <a:cs typeface="+mn-cs"/>
              </a:rPr>
              <a:t>Enter estimated daily traffic volume data.  Regional travel demand model data  	provided by H-GAC upon sponsor’s request.</a:t>
            </a:r>
            <a:r>
              <a:rPr lang="en-US" sz="1100" i="1">
                <a:effectLst/>
                <a:latin typeface="+mn-lt"/>
                <a:ea typeface="+mn-ea"/>
                <a:cs typeface="+mn-cs"/>
              </a:rPr>
              <a:t> </a:t>
            </a:r>
          </a:p>
          <a:p>
            <a:r>
              <a:rPr lang="en-US" sz="1100">
                <a:effectLst/>
                <a:latin typeface="+mn-lt"/>
                <a:ea typeface="+mn-ea"/>
                <a:cs typeface="+mn-cs"/>
              </a:rPr>
              <a:t> 	</a:t>
            </a:r>
            <a:r>
              <a:rPr lang="en-US" sz="1100" i="1">
                <a:effectLst/>
                <a:latin typeface="+mn-lt"/>
                <a:ea typeface="+mn-ea"/>
                <a:cs typeface="+mn-cs"/>
              </a:rPr>
              <a:t>Estimate 2045 Daily Traffic Volume (both directions): </a:t>
            </a:r>
            <a:r>
              <a:rPr lang="en-US" sz="1100">
                <a:effectLst/>
                <a:latin typeface="+mn-lt"/>
                <a:ea typeface="+mn-ea"/>
                <a:cs typeface="+mn-cs"/>
              </a:rPr>
              <a:t>Enter estimated daily traffic volume data.  Regional travel demand model data  	provided by H-GAC upon sponsor’s request.</a:t>
            </a:r>
            <a:r>
              <a:rPr lang="en-US" sz="1100" i="1">
                <a:effectLst/>
                <a:latin typeface="+mn-lt"/>
                <a:ea typeface="+mn-ea"/>
                <a:cs typeface="+mn-cs"/>
              </a:rPr>
              <a:t> </a:t>
            </a:r>
          </a:p>
          <a:p>
            <a:endParaRPr lang="en-US" sz="1100">
              <a:effectLst/>
              <a:latin typeface="+mn-lt"/>
              <a:ea typeface="+mn-ea"/>
              <a:cs typeface="+mn-cs"/>
            </a:endParaRPr>
          </a:p>
          <a:p>
            <a:r>
              <a:rPr lang="en-US" sz="1100">
                <a:effectLst/>
                <a:latin typeface="+mn-lt"/>
                <a:ea typeface="+mn-ea"/>
                <a:cs typeface="+mn-cs"/>
              </a:rPr>
              <a:t>Results will be populated in "red" shaded section ("Benefit Results").</a:t>
            </a:r>
          </a:p>
          <a:p>
            <a:pPr algn="l" rtl="0">
              <a:defRPr sz="1000"/>
            </a:pPr>
            <a:endParaRPr lang="en-US" sz="1100" b="0" i="0" u="none" strike="noStrike" baseline="0">
              <a:solidFill>
                <a:srgbClr val="000000"/>
              </a:solidFill>
              <a:latin typeface="Times New Roman"/>
              <a:cs typeface="Times New Roman"/>
            </a:endParaRPr>
          </a:p>
        </xdr:txBody>
      </xdr:sp>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015760" y="4432501"/>
            <a:ext cx="213947" cy="210496"/>
          </a:xfrm>
          <a:prstGeom prst="rect">
            <a:avLst/>
          </a:prstGeom>
        </xdr:spPr>
      </xdr:pic>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4029808" y="4506463"/>
            <a:ext cx="893897" cy="311861"/>
          </a:xfrm>
          <a:prstGeom prst="rect">
            <a:avLst/>
          </a:prstGeom>
        </xdr:spPr>
      </xdr:pic>
    </xdr:grpSp>
    <xdr:clientData/>
  </xdr:twoCellAnchor>
  <xdr:twoCellAnchor editAs="oneCell">
    <xdr:from>
      <xdr:col>0</xdr:col>
      <xdr:colOff>982717</xdr:colOff>
      <xdr:row>25</xdr:row>
      <xdr:rowOff>168165</xdr:rowOff>
    </xdr:from>
    <xdr:to>
      <xdr:col>2</xdr:col>
      <xdr:colOff>352095</xdr:colOff>
      <xdr:row>29</xdr:row>
      <xdr:rowOff>44809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3"/>
        <a:srcRect t="10725"/>
        <a:stretch/>
      </xdr:blipFill>
      <xdr:spPr>
        <a:xfrm>
          <a:off x="982717" y="4766441"/>
          <a:ext cx="3326523" cy="612368"/>
        </a:xfrm>
        <a:prstGeom prst="rect">
          <a:avLst/>
        </a:prstGeom>
      </xdr:spPr>
    </xdr:pic>
    <xdr:clientData/>
  </xdr:twoCellAnchor>
  <xdr:twoCellAnchor>
    <xdr:from>
      <xdr:col>0</xdr:col>
      <xdr:colOff>2743201</xdr:colOff>
      <xdr:row>26</xdr:row>
      <xdr:rowOff>78827</xdr:rowOff>
    </xdr:from>
    <xdr:to>
      <xdr:col>2</xdr:col>
      <xdr:colOff>252250</xdr:colOff>
      <xdr:row>29</xdr:row>
      <xdr:rowOff>27892</xdr:rowOff>
    </xdr:to>
    <xdr:sp macro="" textlink="">
      <xdr:nvSpPr>
        <xdr:cNvPr id="9" name="Oval 8">
          <a:extLst>
            <a:ext uri="{FF2B5EF4-FFF2-40B4-BE49-F238E27FC236}">
              <a16:creationId xmlns:a16="http://schemas.microsoft.com/office/drawing/2014/main" id="{00000000-0008-0000-0200-000009000000}"/>
            </a:ext>
          </a:extLst>
        </xdr:cNvPr>
        <xdr:cNvSpPr/>
      </xdr:nvSpPr>
      <xdr:spPr>
        <a:xfrm>
          <a:off x="2743201" y="4861034"/>
          <a:ext cx="1466194" cy="500858"/>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219076</xdr:colOff>
      <xdr:row>14</xdr:row>
      <xdr:rowOff>0</xdr:rowOff>
    </xdr:from>
    <xdr:to>
      <xdr:col>2</xdr:col>
      <xdr:colOff>1114425</xdr:colOff>
      <xdr:row>14</xdr:row>
      <xdr:rowOff>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219076" y="2114551"/>
          <a:ext cx="5286374"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To the greatest extent possible, these values are taken from or consistent with the "USDOT  Benefit-Cost Analysis Guidance for Discretionary Grant</a:t>
          </a:r>
          <a:r>
            <a:rPr lang="en-US" sz="1100" baseline="0">
              <a:solidFill>
                <a:schemeClr val="dk1"/>
              </a:solidFill>
              <a:effectLst/>
              <a:latin typeface="+mn-lt"/>
              <a:ea typeface="+mn-ea"/>
              <a:cs typeface="+mn-cs"/>
            </a:rPr>
            <a:t> Programs". </a:t>
          </a:r>
          <a:r>
            <a:rPr lang="en-US" sz="1050" baseline="0">
              <a:solidFill>
                <a:schemeClr val="dk1"/>
              </a:solidFill>
              <a:effectLst/>
              <a:latin typeface="+mn-lt"/>
              <a:ea typeface="+mn-ea"/>
              <a:cs typeface="+mn-cs"/>
            </a:rPr>
            <a:t>It can be found online at:https://www.transportation.gov/sites/dot.gov/files/docs/mission/office-policy/transportation-policy/284031/benefit-cost-analysis-guidance-2018_0.pdf</a:t>
          </a:r>
          <a:endParaRPr lang="en-US" sz="1100" baseline="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ortation\Staff\Vishu\Vishu_T\Vishu_Working\2045%20RTP\Call%20for%20projects\TAC-07182018\Final%20BCA%20Tempaltes\Safety%20Benefits\Transit-bikeped%20-%20Safety%20Benefits%20-%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candis\Desktop\Template%20-%20Safety%20Benefits%20Revision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TS Delay Worksheet"/>
      <sheetName val="Emissions Reduction Worksheet"/>
      <sheetName val="Inputs &amp; Outputs"/>
      <sheetName val="Calculations"/>
      <sheetName val="Assumed Values"/>
      <sheetName val="Value of Statistical Life"/>
      <sheetName val="CRASH RATES"/>
      <sheetName val="CRF Lookup Table"/>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TS Delay Worksheet"/>
      <sheetName val="Emissions Reduction Worksheet"/>
      <sheetName val="Inputs &amp; Outputs"/>
      <sheetName val="CRASH"/>
      <sheetName val="Calculations"/>
      <sheetName val="Assumed Values"/>
      <sheetName val="Value of Travel Time"/>
      <sheetName val="Value of Statistical Life"/>
      <sheetName val="Value of Emissions"/>
      <sheetName val="GDP Deflators"/>
      <sheetName val="CRASH SUM"/>
    </sheetNames>
    <sheetDataSet>
      <sheetData sheetId="0" refreshError="1"/>
      <sheetData sheetId="1" refreshError="1"/>
      <sheetData sheetId="2" refreshError="1"/>
      <sheetData sheetId="3" refreshError="1"/>
      <sheetData sheetId="4" refreshError="1"/>
      <sheetData sheetId="5">
        <row r="4">
          <cell r="S4">
            <v>0</v>
          </cell>
        </row>
        <row r="5">
          <cell r="S5" t="e">
            <v>#DIV/0!</v>
          </cell>
        </row>
        <row r="6">
          <cell r="S6" t="e">
            <v>#DIV/0!</v>
          </cell>
        </row>
        <row r="7">
          <cell r="S7" t="e">
            <v>#DIV/0!</v>
          </cell>
        </row>
        <row r="8">
          <cell r="S8" t="e">
            <v>#DIV/0!</v>
          </cell>
        </row>
        <row r="9">
          <cell r="S9" t="e">
            <v>#DIV/0!</v>
          </cell>
        </row>
        <row r="10">
          <cell r="S10" t="e">
            <v>#DIV/0!</v>
          </cell>
        </row>
        <row r="11">
          <cell r="S11" t="e">
            <v>#DIV/0!</v>
          </cell>
        </row>
        <row r="12">
          <cell r="S12" t="e">
            <v>#DIV/0!</v>
          </cell>
        </row>
        <row r="13">
          <cell r="S13" t="e">
            <v>#DIV/0!</v>
          </cell>
        </row>
        <row r="14">
          <cell r="S14" t="e">
            <v>#DIV/0!</v>
          </cell>
        </row>
        <row r="15">
          <cell r="S15" t="e">
            <v>#DIV/0!</v>
          </cell>
        </row>
        <row r="16">
          <cell r="S16" t="e">
            <v>#DIV/0!</v>
          </cell>
        </row>
        <row r="17">
          <cell r="S17" t="e">
            <v>#DIV/0!</v>
          </cell>
        </row>
        <row r="18">
          <cell r="S18" t="e">
            <v>#DIV/0!</v>
          </cell>
        </row>
        <row r="19">
          <cell r="S19" t="e">
            <v>#DIV/0!</v>
          </cell>
        </row>
        <row r="20">
          <cell r="S20" t="e">
            <v>#DIV/0!</v>
          </cell>
        </row>
        <row r="21">
          <cell r="S21" t="e">
            <v>#DIV/0!</v>
          </cell>
        </row>
        <row r="22">
          <cell r="S22" t="e">
            <v>#DIV/0!</v>
          </cell>
        </row>
        <row r="23">
          <cell r="S23" t="e">
            <v>#DIV/0!</v>
          </cell>
        </row>
        <row r="24">
          <cell r="S24" t="e">
            <v>#DIV/0!</v>
          </cell>
        </row>
        <row r="25">
          <cell r="S25" t="e">
            <v>#DIV/0!</v>
          </cell>
        </row>
        <row r="26">
          <cell r="S26" t="e">
            <v>#DIV/0!</v>
          </cell>
        </row>
        <row r="27">
          <cell r="S27" t="e">
            <v>#DIV/0!</v>
          </cell>
        </row>
        <row r="28">
          <cell r="S28" t="e">
            <v>#DIV/0!</v>
          </cell>
        </row>
        <row r="29">
          <cell r="S29" t="e">
            <v>#DIV/0!</v>
          </cell>
        </row>
        <row r="30">
          <cell r="S30" t="e">
            <v>#DIV/0!</v>
          </cell>
        </row>
        <row r="31">
          <cell r="S31" t="e">
            <v>#DIV/0!</v>
          </cell>
        </row>
        <row r="32">
          <cell r="S32" t="e">
            <v>#DIV/0!</v>
          </cell>
        </row>
        <row r="33">
          <cell r="S33" t="e">
            <v>#DIV/0!</v>
          </cell>
        </row>
        <row r="34">
          <cell r="S34" t="e">
            <v>#DIV/0!</v>
          </cell>
        </row>
        <row r="35">
          <cell r="S35" t="e">
            <v>#DIV/0!</v>
          </cell>
        </row>
        <row r="36">
          <cell r="S36" t="e">
            <v>#DIV/0!</v>
          </cell>
        </row>
      </sheetData>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transportation.gov/sites/dot.gov/files/2023-12/Benefit%20Cost%20Analysis%20Guidance%202024%20Update.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4.4" x14ac:dyDescent="0.3"/>
  <cols>
    <col min="1" max="1" width="38.88671875" customWidth="1"/>
    <col min="2" max="2" width="12.5546875" customWidth="1"/>
    <col min="3" max="3" width="5.33203125" customWidth="1"/>
    <col min="4" max="4" width="33.5546875" bestFit="1" customWidth="1"/>
    <col min="5" max="5" width="13.33203125" customWidth="1"/>
    <col min="6" max="6" width="4.5546875" customWidth="1"/>
    <col min="8" max="8" width="2.109375" hidden="1" customWidth="1"/>
    <col min="9" max="9" width="18.6640625" bestFit="1" customWidth="1"/>
    <col min="10" max="10" width="38.33203125" bestFit="1" customWidth="1"/>
  </cols>
  <sheetData>
    <row r="3" spans="1:10" x14ac:dyDescent="0.3">
      <c r="A3" s="5" t="s">
        <v>0</v>
      </c>
      <c r="D3" s="5" t="s">
        <v>1</v>
      </c>
      <c r="E3" s="6" t="s">
        <v>2</v>
      </c>
      <c r="G3" s="12" t="s">
        <v>3</v>
      </c>
      <c r="H3" s="12"/>
      <c r="I3" s="12" t="s">
        <v>4</v>
      </c>
      <c r="J3" s="12" t="s">
        <v>5</v>
      </c>
    </row>
    <row r="4" spans="1:10" x14ac:dyDescent="0.3">
      <c r="A4" s="3" t="s">
        <v>6</v>
      </c>
      <c r="B4" s="4"/>
      <c r="D4" s="3" t="s">
        <v>7</v>
      </c>
      <c r="E4" s="4">
        <v>2015</v>
      </c>
      <c r="G4" s="10">
        <f>E4</f>
        <v>2015</v>
      </c>
      <c r="H4" s="10">
        <f>IF(G4&lt;2041,1,0)</f>
        <v>1</v>
      </c>
      <c r="I4" s="19">
        <f>IF($G4&lt;($G$4+$E$5),$E$17,0)*H4</f>
        <v>0</v>
      </c>
      <c r="J4" s="24" t="e">
        <f>I4*$B$18*$B$19/10^3</f>
        <v>#REF!</v>
      </c>
    </row>
    <row r="5" spans="1:10" x14ac:dyDescent="0.3">
      <c r="A5" s="3" t="s">
        <v>8</v>
      </c>
      <c r="B5" s="4"/>
      <c r="D5" s="3" t="s">
        <v>9</v>
      </c>
      <c r="E5" s="7">
        <v>10</v>
      </c>
      <c r="G5" s="11">
        <f t="shared" ref="G5:G29" si="0">G4+1</f>
        <v>2016</v>
      </c>
      <c r="H5" s="11">
        <f t="shared" ref="H5:H29" si="1">IF(G5&lt;2041,1,0)</f>
        <v>1</v>
      </c>
      <c r="I5" s="19">
        <f t="shared" ref="I5:I29" si="2">IF($G5&lt;($G$4+$E$5),$E$17,0)*H5</f>
        <v>0</v>
      </c>
      <c r="J5" s="31" t="e">
        <f t="shared" ref="J5:J24" si="3">I5*$B$18*$B$19/10^3</f>
        <v>#REF!</v>
      </c>
    </row>
    <row r="6" spans="1:10" x14ac:dyDescent="0.3">
      <c r="A6" s="3" t="s">
        <v>10</v>
      </c>
      <c r="B6" s="4">
        <v>1</v>
      </c>
      <c r="D6" s="147" t="s">
        <v>11</v>
      </c>
      <c r="E6" s="148"/>
      <c r="G6" s="10">
        <f t="shared" si="0"/>
        <v>2017</v>
      </c>
      <c r="H6" s="10">
        <f t="shared" si="1"/>
        <v>1</v>
      </c>
      <c r="I6" s="19">
        <f t="shared" si="2"/>
        <v>0</v>
      </c>
      <c r="J6" s="24" t="e">
        <f t="shared" si="3"/>
        <v>#REF!</v>
      </c>
    </row>
    <row r="7" spans="1:10" x14ac:dyDescent="0.3">
      <c r="A7" s="3" t="s">
        <v>12</v>
      </c>
      <c r="B7" s="20"/>
      <c r="D7" s="3" t="s">
        <v>13</v>
      </c>
      <c r="E7" s="7"/>
      <c r="G7" s="11">
        <f t="shared" si="0"/>
        <v>2018</v>
      </c>
      <c r="H7" s="11">
        <f t="shared" si="1"/>
        <v>1</v>
      </c>
      <c r="I7" s="19">
        <f t="shared" si="2"/>
        <v>0</v>
      </c>
      <c r="J7" s="31" t="e">
        <f t="shared" si="3"/>
        <v>#REF!</v>
      </c>
    </row>
    <row r="8" spans="1:10" x14ac:dyDescent="0.3">
      <c r="A8" s="3" t="s">
        <v>14</v>
      </c>
      <c r="B8" s="20"/>
      <c r="D8" s="3" t="s">
        <v>15</v>
      </c>
      <c r="E8" s="34">
        <v>1.1499999999999999</v>
      </c>
      <c r="G8" s="10">
        <f t="shared" si="0"/>
        <v>2019</v>
      </c>
      <c r="H8" s="10">
        <f t="shared" si="1"/>
        <v>1</v>
      </c>
      <c r="I8" s="19">
        <f t="shared" si="2"/>
        <v>0</v>
      </c>
      <c r="J8" s="24" t="e">
        <f t="shared" si="3"/>
        <v>#REF!</v>
      </c>
    </row>
    <row r="9" spans="1:10" x14ac:dyDescent="0.3">
      <c r="G9" s="11">
        <f t="shared" si="0"/>
        <v>2020</v>
      </c>
      <c r="H9" s="11">
        <f t="shared" si="1"/>
        <v>1</v>
      </c>
      <c r="I9" s="19">
        <f t="shared" si="2"/>
        <v>0</v>
      </c>
      <c r="J9" s="31" t="e">
        <f t="shared" si="3"/>
        <v>#REF!</v>
      </c>
    </row>
    <row r="10" spans="1:10" x14ac:dyDescent="0.3">
      <c r="A10" s="9" t="s">
        <v>16</v>
      </c>
      <c r="G10" s="10">
        <f t="shared" si="0"/>
        <v>2021</v>
      </c>
      <c r="H10" s="10">
        <f t="shared" si="1"/>
        <v>1</v>
      </c>
      <c r="I10" s="19">
        <f t="shared" si="2"/>
        <v>0</v>
      </c>
      <c r="J10" s="24" t="e">
        <f t="shared" si="3"/>
        <v>#REF!</v>
      </c>
    </row>
    <row r="11" spans="1:10" x14ac:dyDescent="0.3">
      <c r="A11" s="8" t="s">
        <v>17</v>
      </c>
      <c r="B11" s="32" t="e">
        <f>NPV($B$17,J4:J29)/(1+$B$17)^(E4-B16+1)</f>
        <v>#REF!</v>
      </c>
      <c r="G11" s="11">
        <f t="shared" si="0"/>
        <v>2022</v>
      </c>
      <c r="H11" s="11">
        <f t="shared" si="1"/>
        <v>1</v>
      </c>
      <c r="I11" s="19">
        <f t="shared" si="2"/>
        <v>0</v>
      </c>
      <c r="J11" s="31" t="e">
        <f t="shared" si="3"/>
        <v>#REF!</v>
      </c>
    </row>
    <row r="12" spans="1:10" x14ac:dyDescent="0.3">
      <c r="A12" s="8" t="s">
        <v>18</v>
      </c>
      <c r="B12" s="30" t="e">
        <f>B11/B7</f>
        <v>#REF!</v>
      </c>
      <c r="G12" s="10">
        <f t="shared" si="0"/>
        <v>2023</v>
      </c>
      <c r="H12" s="10">
        <f t="shared" si="1"/>
        <v>1</v>
      </c>
      <c r="I12" s="19">
        <f t="shared" si="2"/>
        <v>0</v>
      </c>
      <c r="J12" s="24" t="e">
        <f t="shared" si="3"/>
        <v>#REF!</v>
      </c>
    </row>
    <row r="13" spans="1:10" x14ac:dyDescent="0.3">
      <c r="G13" s="11">
        <f t="shared" si="0"/>
        <v>2024</v>
      </c>
      <c r="H13" s="11">
        <f t="shared" si="1"/>
        <v>1</v>
      </c>
      <c r="I13" s="19">
        <f t="shared" si="2"/>
        <v>0</v>
      </c>
      <c r="J13" s="31" t="e">
        <f t="shared" si="3"/>
        <v>#REF!</v>
      </c>
    </row>
    <row r="14" spans="1:10" x14ac:dyDescent="0.3">
      <c r="G14" s="10">
        <f>G13+1</f>
        <v>2025</v>
      </c>
      <c r="H14" s="10">
        <f t="shared" si="1"/>
        <v>1</v>
      </c>
      <c r="I14" s="19">
        <f t="shared" si="2"/>
        <v>0</v>
      </c>
      <c r="J14" s="24" t="e">
        <f t="shared" si="3"/>
        <v>#REF!</v>
      </c>
    </row>
    <row r="15" spans="1:10" x14ac:dyDescent="0.3">
      <c r="A15" s="13" t="s">
        <v>19</v>
      </c>
      <c r="G15" s="11">
        <f t="shared" si="0"/>
        <v>2026</v>
      </c>
      <c r="H15" s="11">
        <f t="shared" si="1"/>
        <v>1</v>
      </c>
      <c r="I15" s="19">
        <f t="shared" si="2"/>
        <v>0</v>
      </c>
      <c r="J15" s="31" t="e">
        <f t="shared" si="3"/>
        <v>#REF!</v>
      </c>
    </row>
    <row r="16" spans="1:10" x14ac:dyDescent="0.3">
      <c r="A16" s="14" t="s">
        <v>20</v>
      </c>
      <c r="B16" s="14" t="e">
        <f>'Assumed Values'!#REF!</f>
        <v>#REF!</v>
      </c>
      <c r="D16" s="13" t="s">
        <v>21</v>
      </c>
      <c r="E16" s="21" t="s">
        <v>2</v>
      </c>
      <c r="G16" s="10">
        <f t="shared" si="0"/>
        <v>2027</v>
      </c>
      <c r="H16" s="10">
        <f t="shared" si="1"/>
        <v>1</v>
      </c>
      <c r="I16" s="19">
        <f t="shared" si="2"/>
        <v>0</v>
      </c>
      <c r="J16" s="24" t="e">
        <f t="shared" si="3"/>
        <v>#REF!</v>
      </c>
    </row>
    <row r="17" spans="1:10" x14ac:dyDescent="0.3">
      <c r="A17" s="14" t="s">
        <v>22</v>
      </c>
      <c r="B17" s="15" t="e">
        <f>'Assumed Values'!#REF!</f>
        <v>#REF!</v>
      </c>
      <c r="D17" s="17" t="s">
        <v>23</v>
      </c>
      <c r="E17" s="18">
        <f>E7/E8</f>
        <v>0</v>
      </c>
      <c r="G17" s="11">
        <f t="shared" si="0"/>
        <v>2028</v>
      </c>
      <c r="H17" s="11">
        <f t="shared" si="1"/>
        <v>1</v>
      </c>
      <c r="I17" s="19">
        <f t="shared" si="2"/>
        <v>0</v>
      </c>
      <c r="J17" s="31" t="e">
        <f t="shared" si="3"/>
        <v>#REF!</v>
      </c>
    </row>
    <row r="18" spans="1:10" x14ac:dyDescent="0.3">
      <c r="A18" s="14" t="s">
        <v>24</v>
      </c>
      <c r="B18" s="14">
        <f>IF(B6=2,2.1, 1.1)</f>
        <v>1.1000000000000001</v>
      </c>
      <c r="G18" s="10">
        <f t="shared" si="0"/>
        <v>2029</v>
      </c>
      <c r="H18" s="10">
        <f t="shared" si="1"/>
        <v>1</v>
      </c>
      <c r="I18" s="19">
        <f t="shared" si="2"/>
        <v>0</v>
      </c>
      <c r="J18" s="24" t="e">
        <f t="shared" si="3"/>
        <v>#REF!</v>
      </c>
    </row>
    <row r="19" spans="1:10" x14ac:dyDescent="0.3">
      <c r="A19" s="14" t="s">
        <v>25</v>
      </c>
      <c r="B19" s="16" t="e">
        <f>'Assumed Values'!#REF!</f>
        <v>#REF!</v>
      </c>
      <c r="G19" s="11">
        <f t="shared" si="0"/>
        <v>2030</v>
      </c>
      <c r="H19" s="11">
        <f t="shared" si="1"/>
        <v>1</v>
      </c>
      <c r="I19" s="19">
        <f t="shared" si="2"/>
        <v>0</v>
      </c>
      <c r="J19" s="31" t="e">
        <f t="shared" si="3"/>
        <v>#REF!</v>
      </c>
    </row>
    <row r="20" spans="1:10" x14ac:dyDescent="0.3">
      <c r="A20" s="14" t="s">
        <v>26</v>
      </c>
      <c r="B20" s="14">
        <v>260</v>
      </c>
      <c r="G20" s="10">
        <f t="shared" si="0"/>
        <v>2031</v>
      </c>
      <c r="H20" s="10">
        <f t="shared" si="1"/>
        <v>1</v>
      </c>
      <c r="I20" s="19">
        <f t="shared" si="2"/>
        <v>0</v>
      </c>
      <c r="J20" s="24" t="e">
        <f t="shared" si="3"/>
        <v>#REF!</v>
      </c>
    </row>
    <row r="21" spans="1:10" x14ac:dyDescent="0.3">
      <c r="G21" s="11">
        <f t="shared" si="0"/>
        <v>2032</v>
      </c>
      <c r="H21" s="11">
        <f t="shared" si="1"/>
        <v>1</v>
      </c>
      <c r="I21" s="19">
        <f t="shared" si="2"/>
        <v>0</v>
      </c>
      <c r="J21" s="31" t="e">
        <f t="shared" si="3"/>
        <v>#REF!</v>
      </c>
    </row>
    <row r="22" spans="1:10" x14ac:dyDescent="0.3">
      <c r="G22" s="10">
        <f t="shared" si="0"/>
        <v>2033</v>
      </c>
      <c r="H22" s="10">
        <f t="shared" si="1"/>
        <v>1</v>
      </c>
      <c r="I22" s="19">
        <f t="shared" si="2"/>
        <v>0</v>
      </c>
      <c r="J22" s="24" t="e">
        <f t="shared" si="3"/>
        <v>#REF!</v>
      </c>
    </row>
    <row r="23" spans="1:10" x14ac:dyDescent="0.3">
      <c r="G23" s="11">
        <f t="shared" si="0"/>
        <v>2034</v>
      </c>
      <c r="H23" s="11">
        <f t="shared" si="1"/>
        <v>1</v>
      </c>
      <c r="I23" s="19">
        <f t="shared" si="2"/>
        <v>0</v>
      </c>
      <c r="J23" s="31" t="e">
        <f t="shared" si="3"/>
        <v>#REF!</v>
      </c>
    </row>
    <row r="24" spans="1:10" x14ac:dyDescent="0.3">
      <c r="G24" s="10">
        <f t="shared" si="0"/>
        <v>2035</v>
      </c>
      <c r="H24" s="10">
        <f t="shared" si="1"/>
        <v>1</v>
      </c>
      <c r="I24" s="19">
        <f t="shared" si="2"/>
        <v>0</v>
      </c>
      <c r="J24" s="24" t="e">
        <f t="shared" si="3"/>
        <v>#REF!</v>
      </c>
    </row>
    <row r="25" spans="1:10" x14ac:dyDescent="0.3">
      <c r="G25" s="11">
        <f t="shared" si="0"/>
        <v>2036</v>
      </c>
      <c r="H25" s="11">
        <f t="shared" si="1"/>
        <v>1</v>
      </c>
      <c r="I25" s="19">
        <f t="shared" si="2"/>
        <v>0</v>
      </c>
      <c r="J25" s="31" t="e">
        <f t="shared" ref="J25:J29" si="4">I25*$B$18*$B$19/10^3</f>
        <v>#REF!</v>
      </c>
    </row>
    <row r="26" spans="1:10" x14ac:dyDescent="0.3">
      <c r="G26" s="10">
        <f t="shared" si="0"/>
        <v>2037</v>
      </c>
      <c r="H26" s="10">
        <f t="shared" si="1"/>
        <v>1</v>
      </c>
      <c r="I26" s="19">
        <f t="shared" si="2"/>
        <v>0</v>
      </c>
      <c r="J26" s="24" t="e">
        <f t="shared" si="4"/>
        <v>#REF!</v>
      </c>
    </row>
    <row r="27" spans="1:10" x14ac:dyDescent="0.3">
      <c r="G27" s="11">
        <f t="shared" si="0"/>
        <v>2038</v>
      </c>
      <c r="H27" s="11">
        <f t="shared" si="1"/>
        <v>1</v>
      </c>
      <c r="I27" s="19">
        <f t="shared" si="2"/>
        <v>0</v>
      </c>
      <c r="J27" s="31" t="e">
        <f t="shared" si="4"/>
        <v>#REF!</v>
      </c>
    </row>
    <row r="28" spans="1:10" x14ac:dyDescent="0.3">
      <c r="G28" s="10">
        <f t="shared" si="0"/>
        <v>2039</v>
      </c>
      <c r="H28" s="10">
        <f t="shared" si="1"/>
        <v>1</v>
      </c>
      <c r="I28" s="19">
        <f t="shared" si="2"/>
        <v>0</v>
      </c>
      <c r="J28" s="24" t="e">
        <f t="shared" si="4"/>
        <v>#REF!</v>
      </c>
    </row>
    <row r="29" spans="1:10" x14ac:dyDescent="0.3">
      <c r="A29" s="22"/>
      <c r="G29" s="11">
        <f t="shared" si="0"/>
        <v>2040</v>
      </c>
      <c r="H29" s="11">
        <f t="shared" si="1"/>
        <v>1</v>
      </c>
      <c r="I29" s="19">
        <f t="shared" si="2"/>
        <v>0</v>
      </c>
      <c r="J29" s="31" t="e">
        <f t="shared" si="4"/>
        <v>#REF!</v>
      </c>
    </row>
    <row r="51" spans="1:1" x14ac:dyDescent="0.3">
      <c r="A51" t="s">
        <v>27</v>
      </c>
    </row>
    <row r="52" spans="1:1" x14ac:dyDescent="0.3">
      <c r="A52" t="s">
        <v>28</v>
      </c>
    </row>
    <row r="53" spans="1:1" x14ac:dyDescent="0.3">
      <c r="A53" t="s">
        <v>29</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28B5-6DF8-4C34-BAAC-C90A53ADADB0}">
  <sheetPr codeName="Sheet10">
    <tabColor theme="1" tint="4.9989318521683403E-2"/>
  </sheetPr>
  <dimension ref="C2:D10"/>
  <sheetViews>
    <sheetView zoomScale="145" zoomScaleNormal="145" workbookViewId="0">
      <selection activeCell="D11" sqref="D11"/>
    </sheetView>
  </sheetViews>
  <sheetFormatPr defaultRowHeight="14.4" x14ac:dyDescent="0.3"/>
  <cols>
    <col min="3" max="3" width="34.6640625" bestFit="1" customWidth="1"/>
    <col min="4" max="4" width="18" bestFit="1" customWidth="1"/>
    <col min="5" max="6" width="12.88671875" customWidth="1"/>
  </cols>
  <sheetData>
    <row r="2" spans="3:4" ht="15" thickBot="1" x14ac:dyDescent="0.35"/>
    <row r="3" spans="3:4" x14ac:dyDescent="0.3">
      <c r="C3" s="38" t="s">
        <v>129</v>
      </c>
      <c r="D3" s="43" t="s">
        <v>130</v>
      </c>
    </row>
    <row r="4" spans="3:4" x14ac:dyDescent="0.3">
      <c r="C4" s="41" t="s">
        <v>57</v>
      </c>
      <c r="D4" s="39">
        <v>20</v>
      </c>
    </row>
    <row r="5" spans="3:4" x14ac:dyDescent="0.3">
      <c r="C5" s="41" t="s">
        <v>131</v>
      </c>
      <c r="D5" s="39">
        <v>10</v>
      </c>
    </row>
    <row r="6" spans="3:4" x14ac:dyDescent="0.3">
      <c r="C6" s="41" t="s">
        <v>132</v>
      </c>
      <c r="D6" s="39">
        <v>10</v>
      </c>
    </row>
    <row r="7" spans="3:4" x14ac:dyDescent="0.3">
      <c r="C7" s="41" t="s">
        <v>133</v>
      </c>
      <c r="D7" s="39">
        <v>20</v>
      </c>
    </row>
    <row r="8" spans="3:4" x14ac:dyDescent="0.3">
      <c r="C8" s="41" t="s">
        <v>134</v>
      </c>
      <c r="D8" s="39">
        <v>20</v>
      </c>
    </row>
    <row r="9" spans="3:4" x14ac:dyDescent="0.3">
      <c r="C9" s="41" t="s">
        <v>135</v>
      </c>
      <c r="D9" s="39">
        <v>20</v>
      </c>
    </row>
    <row r="10" spans="3:4" ht="15" thickBot="1" x14ac:dyDescent="0.35">
      <c r="C10" s="42" t="s">
        <v>136</v>
      </c>
      <c r="D10" s="40">
        <v>50</v>
      </c>
    </row>
  </sheetData>
  <sheetProtection algorithmName="SHA-512" hashValue="JoMU+Aovo4UCKZT++XNkAX3CBXFpAfDsg38c3CA7CwGjv28GWrrLMACCoUwhyuB6ip7P9phBvXQDHZjKkNQakw==" saltValue="lRjTvS+/ApGZTRDXC4dHFA==" spinCount="100000" sheet="1" objects="1" scenarios="1"/>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BF6FC-057B-44EB-B06E-5F106DDE79E6}">
  <sheetPr>
    <tabColor theme="1"/>
  </sheetPr>
  <dimension ref="A1:M16"/>
  <sheetViews>
    <sheetView workbookViewId="0">
      <selection activeCell="I17" sqref="I17"/>
    </sheetView>
  </sheetViews>
  <sheetFormatPr defaultColWidth="8.88671875" defaultRowHeight="14.4" x14ac:dyDescent="0.3"/>
  <cols>
    <col min="1" max="1" width="3.109375" style="113" customWidth="1"/>
    <col min="2" max="2" width="13.6640625" style="113" customWidth="1"/>
    <col min="3" max="3" width="12" style="113" bestFit="1" customWidth="1"/>
    <col min="4" max="4" width="11.33203125" style="113" bestFit="1" customWidth="1"/>
    <col min="5" max="16384" width="8.88671875" style="113"/>
  </cols>
  <sheetData>
    <row r="1" spans="1:13" x14ac:dyDescent="0.3">
      <c r="A1"/>
      <c r="B1"/>
      <c r="C1"/>
      <c r="D1"/>
    </row>
    <row r="2" spans="1:13" x14ac:dyDescent="0.3">
      <c r="A2"/>
      <c r="B2"/>
      <c r="C2" s="115" t="s">
        <v>137</v>
      </c>
      <c r="D2" s="115" t="s">
        <v>137</v>
      </c>
    </row>
    <row r="3" spans="1:13" x14ac:dyDescent="0.3">
      <c r="A3"/>
      <c r="B3" s="116" t="s">
        <v>138</v>
      </c>
      <c r="C3" s="115" t="s">
        <v>139</v>
      </c>
      <c r="D3" s="117" t="s">
        <v>140</v>
      </c>
      <c r="E3" s="114"/>
      <c r="M3" s="114"/>
    </row>
    <row r="4" spans="1:13" x14ac:dyDescent="0.3">
      <c r="A4"/>
      <c r="B4" s="36" t="s">
        <v>112</v>
      </c>
      <c r="C4" s="115">
        <v>1.6465250156540216E-2</v>
      </c>
      <c r="D4" s="117">
        <v>3.5990313013993261E-2</v>
      </c>
      <c r="E4" s="114"/>
    </row>
    <row r="5" spans="1:13" x14ac:dyDescent="0.3">
      <c r="A5"/>
      <c r="B5" s="36" t="s">
        <v>113</v>
      </c>
      <c r="C5" s="115">
        <v>1.5615221198574572E-2</v>
      </c>
      <c r="D5" s="117">
        <v>2.4287640268739003E-2</v>
      </c>
      <c r="E5" s="114"/>
    </row>
    <row r="6" spans="1:13" x14ac:dyDescent="0.3">
      <c r="A6"/>
      <c r="B6" s="36" t="s">
        <v>114</v>
      </c>
      <c r="C6" s="115">
        <v>3.195266160252231E-2</v>
      </c>
      <c r="D6" s="117">
        <v>2.6990658283985388E-2</v>
      </c>
      <c r="E6" s="114"/>
    </row>
    <row r="7" spans="1:13" x14ac:dyDescent="0.3">
      <c r="A7"/>
      <c r="B7" s="36" t="s">
        <v>115</v>
      </c>
      <c r="C7" s="115">
        <v>1.9699867662153519E-2</v>
      </c>
      <c r="D7" s="117">
        <v>1.3066379160471426E-2</v>
      </c>
      <c r="E7" s="114"/>
    </row>
    <row r="8" spans="1:13" x14ac:dyDescent="0.3">
      <c r="A8"/>
      <c r="B8" s="36" t="s">
        <v>53</v>
      </c>
      <c r="C8" s="115">
        <v>1.9512302850000194E-2</v>
      </c>
      <c r="D8" s="117">
        <v>1.2024674308902259E-2</v>
      </c>
      <c r="E8" s="114"/>
    </row>
    <row r="9" spans="1:13" x14ac:dyDescent="0.3">
      <c r="A9"/>
      <c r="B9" s="36" t="s">
        <v>116</v>
      </c>
      <c r="C9" s="115">
        <v>1.782356260884985E-2</v>
      </c>
      <c r="D9" s="117">
        <v>2.9745043736646361E-2</v>
      </c>
      <c r="E9" s="114"/>
    </row>
    <row r="10" spans="1:13" x14ac:dyDescent="0.3">
      <c r="A10"/>
      <c r="B10" s="36" t="s">
        <v>117</v>
      </c>
      <c r="C10" s="115">
        <v>2.508906394952868E-2</v>
      </c>
      <c r="D10" s="117">
        <v>2.4222517026481549E-2</v>
      </c>
      <c r="E10" s="114"/>
    </row>
    <row r="11" spans="1:13" x14ac:dyDescent="0.3">
      <c r="A11"/>
      <c r="B11" s="36" t="s">
        <v>118</v>
      </c>
      <c r="C11" s="115">
        <v>2.4045854892342022E-2</v>
      </c>
      <c r="D11" s="117">
        <v>4.1038431317052267E-2</v>
      </c>
      <c r="E11" s="114"/>
    </row>
    <row r="12" spans="1:13" x14ac:dyDescent="0.3">
      <c r="A12"/>
      <c r="B12"/>
      <c r="C12" s="141"/>
      <c r="D12" s="142"/>
      <c r="E12" s="114"/>
    </row>
    <row r="13" spans="1:13" x14ac:dyDescent="0.3">
      <c r="B13" s="153" t="s">
        <v>137</v>
      </c>
      <c r="C13" s="153"/>
    </row>
    <row r="14" spans="1:13" x14ac:dyDescent="0.3">
      <c r="B14" s="137" t="s">
        <v>142</v>
      </c>
      <c r="C14" s="138">
        <v>12000</v>
      </c>
    </row>
    <row r="15" spans="1:13" ht="28.8" x14ac:dyDescent="0.3">
      <c r="B15" s="139" t="s">
        <v>143</v>
      </c>
      <c r="C15" s="138">
        <v>13800</v>
      </c>
    </row>
    <row r="16" spans="1:13" x14ac:dyDescent="0.3">
      <c r="B16" s="137" t="s">
        <v>137</v>
      </c>
      <c r="C16" s="140">
        <f>(($C$15/$C$14)^(1/(Year_Open_to_Traffic?-2021)))-1</f>
        <v>3.5558076341622114E-2</v>
      </c>
    </row>
  </sheetData>
  <sheetProtection algorithmName="SHA-512" hashValue="61Gq4Xg/yZdSsFbqJGl1hGZVJJQwyh8XHX4lBJwiPmBTHm43Krc14AGk+Pz3McqeSalGFvREnA3fSLEg+LgOnA==" saltValue="Zd2CeRryNSoq6SCG7XvNeQ==" spinCount="100000" sheet="1" objects="1" scenarios="1"/>
  <mergeCells count="1">
    <mergeCell ref="B13: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4.4" x14ac:dyDescent="0.3"/>
  <cols>
    <col min="1" max="1" width="54.33203125" customWidth="1"/>
    <col min="2" max="2" width="12.5546875" customWidth="1"/>
    <col min="3" max="3" width="5.33203125" customWidth="1"/>
    <col min="4" max="4" width="37.44140625" bestFit="1" customWidth="1"/>
    <col min="5" max="5" width="13.33203125" customWidth="1"/>
    <col min="6" max="6" width="4.5546875" customWidth="1"/>
    <col min="8" max="8" width="26.44140625" bestFit="1" customWidth="1"/>
    <col min="9" max="9" width="34.5546875" bestFit="1" customWidth="1"/>
    <col min="10" max="10" width="24.109375" bestFit="1" customWidth="1"/>
    <col min="11" max="11" width="33.44140625" bestFit="1" customWidth="1"/>
  </cols>
  <sheetData>
    <row r="3" spans="1:11" x14ac:dyDescent="0.3">
      <c r="A3" s="5" t="s">
        <v>0</v>
      </c>
      <c r="D3" s="5" t="s">
        <v>30</v>
      </c>
      <c r="E3" s="6" t="s">
        <v>2</v>
      </c>
      <c r="G3" s="12" t="s">
        <v>3</v>
      </c>
      <c r="H3" s="12" t="s">
        <v>31</v>
      </c>
      <c r="I3" s="12" t="s">
        <v>32</v>
      </c>
      <c r="J3" s="12" t="s">
        <v>33</v>
      </c>
      <c r="K3" s="12" t="s">
        <v>34</v>
      </c>
    </row>
    <row r="4" spans="1:11" x14ac:dyDescent="0.3">
      <c r="A4" s="3" t="s">
        <v>6</v>
      </c>
      <c r="B4" s="4"/>
      <c r="D4" s="3" t="s">
        <v>7</v>
      </c>
      <c r="E4" s="4">
        <v>2015</v>
      </c>
      <c r="G4" s="10">
        <f>E4</f>
        <v>2015</v>
      </c>
      <c r="H4" s="27">
        <f t="shared" ref="H4:H24" si="0">IF($G4&lt;($G$4+$E$5),$E$17,0)</f>
        <v>0</v>
      </c>
      <c r="I4" s="26" t="e">
        <f>H4*$B$20/10^3</f>
        <v>#REF!</v>
      </c>
      <c r="J4" s="27">
        <f t="shared" ref="J4:J24" si="1">IF($G4&lt;($G$4+$E$5),$E$18,0)</f>
        <v>0</v>
      </c>
      <c r="K4" s="26" t="e">
        <f>J4*$B$21/10^3</f>
        <v>#REF!</v>
      </c>
    </row>
    <row r="5" spans="1:11" x14ac:dyDescent="0.3">
      <c r="A5" s="3" t="s">
        <v>8</v>
      </c>
      <c r="B5" s="4"/>
      <c r="D5" s="3" t="s">
        <v>9</v>
      </c>
      <c r="E5" s="7">
        <v>10</v>
      </c>
      <c r="G5" s="11">
        <f t="shared" ref="G5:G29" si="2">G4+1</f>
        <v>2016</v>
      </c>
      <c r="H5" s="27">
        <f t="shared" si="0"/>
        <v>0</v>
      </c>
      <c r="I5" s="28" t="e">
        <f t="shared" ref="I5:I24" si="3">H5*$B$20/10^3</f>
        <v>#REF!</v>
      </c>
      <c r="J5" s="27">
        <f t="shared" si="1"/>
        <v>0</v>
      </c>
      <c r="K5" s="28" t="e">
        <f t="shared" ref="K5:K24" si="4">J5*$B$21/10^3</f>
        <v>#REF!</v>
      </c>
    </row>
    <row r="6" spans="1:11" x14ac:dyDescent="0.3">
      <c r="A6" s="3" t="s">
        <v>35</v>
      </c>
      <c r="B6" s="4">
        <v>2</v>
      </c>
      <c r="D6" s="147" t="s">
        <v>11</v>
      </c>
      <c r="E6" s="148"/>
      <c r="G6" s="10">
        <f t="shared" si="2"/>
        <v>2017</v>
      </c>
      <c r="H6" s="27">
        <f t="shared" si="0"/>
        <v>0</v>
      </c>
      <c r="I6" s="26" t="e">
        <f t="shared" si="3"/>
        <v>#REF!</v>
      </c>
      <c r="J6" s="27">
        <f t="shared" si="1"/>
        <v>0</v>
      </c>
      <c r="K6" s="26" t="e">
        <f t="shared" si="4"/>
        <v>#REF!</v>
      </c>
    </row>
    <row r="7" spans="1:11" x14ac:dyDescent="0.3">
      <c r="A7" s="3" t="s">
        <v>12</v>
      </c>
      <c r="B7" s="20"/>
      <c r="D7" s="3" t="s">
        <v>36</v>
      </c>
      <c r="E7" s="7"/>
      <c r="G7" s="11">
        <f t="shared" si="2"/>
        <v>2018</v>
      </c>
      <c r="H7" s="27">
        <f t="shared" si="0"/>
        <v>0</v>
      </c>
      <c r="I7" s="28" t="e">
        <f t="shared" si="3"/>
        <v>#REF!</v>
      </c>
      <c r="J7" s="27">
        <f t="shared" si="1"/>
        <v>0</v>
      </c>
      <c r="K7" s="28" t="e">
        <f t="shared" si="4"/>
        <v>#REF!</v>
      </c>
    </row>
    <row r="8" spans="1:11" x14ac:dyDescent="0.3">
      <c r="A8" s="3" t="s">
        <v>14</v>
      </c>
      <c r="B8" s="20"/>
      <c r="D8" s="147" t="s">
        <v>37</v>
      </c>
      <c r="E8" s="148"/>
      <c r="G8" s="10">
        <f t="shared" si="2"/>
        <v>2019</v>
      </c>
      <c r="H8" s="27">
        <f t="shared" si="0"/>
        <v>0</v>
      </c>
      <c r="I8" s="26" t="e">
        <f t="shared" si="3"/>
        <v>#REF!</v>
      </c>
      <c r="J8" s="27">
        <f t="shared" si="1"/>
        <v>0</v>
      </c>
      <c r="K8" s="26" t="e">
        <f t="shared" si="4"/>
        <v>#REF!</v>
      </c>
    </row>
    <row r="9" spans="1:11" x14ac:dyDescent="0.3">
      <c r="D9" s="3" t="s">
        <v>38</v>
      </c>
      <c r="E9" s="7"/>
      <c r="G9" s="11">
        <f t="shared" si="2"/>
        <v>2020</v>
      </c>
      <c r="H9" s="27">
        <f t="shared" si="0"/>
        <v>0</v>
      </c>
      <c r="I9" s="28" t="e">
        <f t="shared" si="3"/>
        <v>#REF!</v>
      </c>
      <c r="J9" s="27">
        <f t="shared" si="1"/>
        <v>0</v>
      </c>
      <c r="K9" s="28" t="e">
        <f t="shared" si="4"/>
        <v>#REF!</v>
      </c>
    </row>
    <row r="10" spans="1:11" x14ac:dyDescent="0.3">
      <c r="A10" s="9" t="s">
        <v>16</v>
      </c>
      <c r="D10" s="3" t="s">
        <v>39</v>
      </c>
      <c r="E10" s="7"/>
      <c r="G10" s="10">
        <f t="shared" si="2"/>
        <v>2021</v>
      </c>
      <c r="H10" s="27">
        <f t="shared" si="0"/>
        <v>0</v>
      </c>
      <c r="I10" s="26" t="e">
        <f t="shared" si="3"/>
        <v>#REF!</v>
      </c>
      <c r="J10" s="27">
        <f t="shared" si="1"/>
        <v>0</v>
      </c>
      <c r="K10" s="26" t="e">
        <f t="shared" si="4"/>
        <v>#REF!</v>
      </c>
    </row>
    <row r="11" spans="1:11" x14ac:dyDescent="0.3">
      <c r="A11" s="8" t="s">
        <v>40</v>
      </c>
      <c r="B11" s="29" t="e">
        <f>(NPV($B$17,K4:K24)+NPV($B$17,I4:I24))/(1+$B$17)^2</f>
        <v>#REF!</v>
      </c>
      <c r="G11" s="11">
        <f t="shared" si="2"/>
        <v>2022</v>
      </c>
      <c r="H11" s="27">
        <f t="shared" si="0"/>
        <v>0</v>
      </c>
      <c r="I11" s="28" t="e">
        <f t="shared" si="3"/>
        <v>#REF!</v>
      </c>
      <c r="J11" s="27">
        <f t="shared" si="1"/>
        <v>0</v>
      </c>
      <c r="K11" s="28" t="e">
        <f t="shared" si="4"/>
        <v>#REF!</v>
      </c>
    </row>
    <row r="12" spans="1:11" x14ac:dyDescent="0.3">
      <c r="A12" s="8" t="s">
        <v>18</v>
      </c>
      <c r="B12" s="30" t="e">
        <f>B11/B7</f>
        <v>#REF!</v>
      </c>
      <c r="G12" s="10">
        <f t="shared" si="2"/>
        <v>2023</v>
      </c>
      <c r="H12" s="27">
        <f t="shared" si="0"/>
        <v>0</v>
      </c>
      <c r="I12" s="26" t="e">
        <f t="shared" si="3"/>
        <v>#REF!</v>
      </c>
      <c r="J12" s="27">
        <f t="shared" si="1"/>
        <v>0</v>
      </c>
      <c r="K12" s="26" t="e">
        <f t="shared" si="4"/>
        <v>#REF!</v>
      </c>
    </row>
    <row r="13" spans="1:11" x14ac:dyDescent="0.3">
      <c r="A13" s="8" t="s">
        <v>41</v>
      </c>
      <c r="B13" s="29" t="e">
        <f>B7*(B17/(1-(1+B17)^(-E5))/(SUM(H4:H29)+SUM(J4:J29)))</f>
        <v>#DIV/0!</v>
      </c>
      <c r="G13" s="11">
        <f t="shared" si="2"/>
        <v>2024</v>
      </c>
      <c r="H13" s="27">
        <f t="shared" si="0"/>
        <v>0</v>
      </c>
      <c r="I13" s="28" t="e">
        <f t="shared" si="3"/>
        <v>#REF!</v>
      </c>
      <c r="J13" s="27">
        <f t="shared" si="1"/>
        <v>0</v>
      </c>
      <c r="K13" s="28" t="e">
        <f t="shared" si="4"/>
        <v>#REF!</v>
      </c>
    </row>
    <row r="14" spans="1:11" x14ac:dyDescent="0.3">
      <c r="G14" s="10">
        <f>G13+1</f>
        <v>2025</v>
      </c>
      <c r="H14" s="27">
        <f t="shared" si="0"/>
        <v>0</v>
      </c>
      <c r="I14" s="26" t="e">
        <f t="shared" si="3"/>
        <v>#REF!</v>
      </c>
      <c r="J14" s="27">
        <f t="shared" si="1"/>
        <v>0</v>
      </c>
      <c r="K14" s="26" t="e">
        <f t="shared" si="4"/>
        <v>#REF!</v>
      </c>
    </row>
    <row r="15" spans="1:11" x14ac:dyDescent="0.3">
      <c r="A15" s="13" t="s">
        <v>19</v>
      </c>
      <c r="G15" s="11">
        <f t="shared" si="2"/>
        <v>2026</v>
      </c>
      <c r="H15" s="27">
        <f t="shared" si="0"/>
        <v>0</v>
      </c>
      <c r="I15" s="28" t="e">
        <f t="shared" si="3"/>
        <v>#REF!</v>
      </c>
      <c r="J15" s="27">
        <f t="shared" si="1"/>
        <v>0</v>
      </c>
      <c r="K15" s="28" t="e">
        <f t="shared" si="4"/>
        <v>#REF!</v>
      </c>
    </row>
    <row r="16" spans="1:11" x14ac:dyDescent="0.3">
      <c r="A16" s="14" t="s">
        <v>20</v>
      </c>
      <c r="B16" s="14">
        <v>2015</v>
      </c>
      <c r="D16" s="13" t="s">
        <v>21</v>
      </c>
      <c r="E16" s="21" t="s">
        <v>2</v>
      </c>
      <c r="G16" s="10">
        <f t="shared" si="2"/>
        <v>2027</v>
      </c>
      <c r="H16" s="27">
        <f t="shared" si="0"/>
        <v>0</v>
      </c>
      <c r="I16" s="26" t="e">
        <f t="shared" si="3"/>
        <v>#REF!</v>
      </c>
      <c r="J16" s="27">
        <f t="shared" si="1"/>
        <v>0</v>
      </c>
      <c r="K16" s="26" t="e">
        <f t="shared" si="4"/>
        <v>#REF!</v>
      </c>
    </row>
    <row r="17" spans="1:11" x14ac:dyDescent="0.3">
      <c r="A17" s="14" t="s">
        <v>22</v>
      </c>
      <c r="B17" s="15">
        <v>7.0000000000000007E-2</v>
      </c>
      <c r="D17" s="17" t="s">
        <v>38</v>
      </c>
      <c r="E17" s="23">
        <f>IF(E9,E9,$E$7*B18*$B$22/10^6)</f>
        <v>0</v>
      </c>
      <c r="G17" s="11">
        <f t="shared" si="2"/>
        <v>2028</v>
      </c>
      <c r="H17" s="27">
        <f t="shared" si="0"/>
        <v>0</v>
      </c>
      <c r="I17" s="28" t="e">
        <f t="shared" si="3"/>
        <v>#REF!</v>
      </c>
      <c r="J17" s="27">
        <f t="shared" si="1"/>
        <v>0</v>
      </c>
      <c r="K17" s="28" t="e">
        <f t="shared" si="4"/>
        <v>#REF!</v>
      </c>
    </row>
    <row r="18" spans="1:11" x14ac:dyDescent="0.3">
      <c r="A18" s="14" t="s">
        <v>42</v>
      </c>
      <c r="B18" s="33">
        <f>IF($B$6=2,'Assumed Values'!C5,0)</f>
        <v>4.1601713746800002E-2</v>
      </c>
      <c r="D18" s="17" t="s">
        <v>39</v>
      </c>
      <c r="E18" s="23">
        <f>IF(E10,E10,$E$7*B19*$B$22/10^6)</f>
        <v>0</v>
      </c>
      <c r="G18" s="10">
        <f t="shared" si="2"/>
        <v>2029</v>
      </c>
      <c r="H18" s="27">
        <f t="shared" si="0"/>
        <v>0</v>
      </c>
      <c r="I18" s="26" t="e">
        <f t="shared" si="3"/>
        <v>#REF!</v>
      </c>
      <c r="J18" s="27">
        <f t="shared" si="1"/>
        <v>0</v>
      </c>
      <c r="K18" s="26" t="e">
        <f t="shared" si="4"/>
        <v>#REF!</v>
      </c>
    </row>
    <row r="19" spans="1:11" x14ac:dyDescent="0.3">
      <c r="A19" s="14" t="s">
        <v>43</v>
      </c>
      <c r="B19" s="33">
        <f>IF($B$6=2,'Assumed Values'!C6,0)</f>
        <v>4.0840815752700002E-2</v>
      </c>
      <c r="G19" s="11">
        <f t="shared" si="2"/>
        <v>2030</v>
      </c>
      <c r="H19" s="27">
        <f t="shared" si="0"/>
        <v>0</v>
      </c>
      <c r="I19" s="28" t="e">
        <f t="shared" si="3"/>
        <v>#REF!</v>
      </c>
      <c r="J19" s="27">
        <f t="shared" si="1"/>
        <v>0</v>
      </c>
      <c r="K19" s="28" t="e">
        <f t="shared" si="4"/>
        <v>#REF!</v>
      </c>
    </row>
    <row r="20" spans="1:11" x14ac:dyDescent="0.3">
      <c r="A20" s="14" t="s">
        <v>44</v>
      </c>
      <c r="B20" s="25" t="e">
        <f>'Assumed Values'!#REF!</f>
        <v>#REF!</v>
      </c>
      <c r="G20" s="10">
        <f t="shared" si="2"/>
        <v>2031</v>
      </c>
      <c r="H20" s="27">
        <f t="shared" si="0"/>
        <v>0</v>
      </c>
      <c r="I20" s="26" t="e">
        <f t="shared" si="3"/>
        <v>#REF!</v>
      </c>
      <c r="J20" s="27">
        <f t="shared" si="1"/>
        <v>0</v>
      </c>
      <c r="K20" s="26" t="e">
        <f t="shared" si="4"/>
        <v>#REF!</v>
      </c>
    </row>
    <row r="21" spans="1:11" x14ac:dyDescent="0.3">
      <c r="A21" s="14" t="s">
        <v>45</v>
      </c>
      <c r="B21" s="25" t="e">
        <f>'Assumed Values'!#REF!</f>
        <v>#REF!</v>
      </c>
      <c r="G21" s="11">
        <f t="shared" si="2"/>
        <v>2032</v>
      </c>
      <c r="H21" s="27">
        <f t="shared" si="0"/>
        <v>0</v>
      </c>
      <c r="I21" s="28" t="e">
        <f t="shared" si="3"/>
        <v>#REF!</v>
      </c>
      <c r="J21" s="27">
        <f t="shared" si="1"/>
        <v>0</v>
      </c>
      <c r="K21" s="28" t="e">
        <f t="shared" si="4"/>
        <v>#REF!</v>
      </c>
    </row>
    <row r="22" spans="1:11" x14ac:dyDescent="0.3">
      <c r="A22" s="14" t="s">
        <v>26</v>
      </c>
      <c r="B22" s="14">
        <v>260</v>
      </c>
      <c r="G22" s="10">
        <f t="shared" si="2"/>
        <v>2033</v>
      </c>
      <c r="H22" s="27">
        <f t="shared" si="0"/>
        <v>0</v>
      </c>
      <c r="I22" s="26" t="e">
        <f t="shared" si="3"/>
        <v>#REF!</v>
      </c>
      <c r="J22" s="27">
        <f t="shared" si="1"/>
        <v>0</v>
      </c>
      <c r="K22" s="26" t="e">
        <f t="shared" si="4"/>
        <v>#REF!</v>
      </c>
    </row>
    <row r="23" spans="1:11" x14ac:dyDescent="0.3">
      <c r="G23" s="11">
        <f t="shared" si="2"/>
        <v>2034</v>
      </c>
      <c r="H23" s="27">
        <f t="shared" si="0"/>
        <v>0</v>
      </c>
      <c r="I23" s="28" t="e">
        <f t="shared" si="3"/>
        <v>#REF!</v>
      </c>
      <c r="J23" s="27">
        <f t="shared" si="1"/>
        <v>0</v>
      </c>
      <c r="K23" s="28" t="e">
        <f t="shared" si="4"/>
        <v>#REF!</v>
      </c>
    </row>
    <row r="24" spans="1:11" x14ac:dyDescent="0.3">
      <c r="G24" s="10">
        <f t="shared" si="2"/>
        <v>2035</v>
      </c>
      <c r="H24" s="27">
        <f t="shared" si="0"/>
        <v>0</v>
      </c>
      <c r="I24" s="26" t="e">
        <f t="shared" si="3"/>
        <v>#REF!</v>
      </c>
      <c r="J24" s="27">
        <f t="shared" si="1"/>
        <v>0</v>
      </c>
      <c r="K24" s="26" t="e">
        <f t="shared" si="4"/>
        <v>#REF!</v>
      </c>
    </row>
    <row r="25" spans="1:11" x14ac:dyDescent="0.3">
      <c r="G25" s="11">
        <f t="shared" si="2"/>
        <v>2036</v>
      </c>
      <c r="H25" s="27">
        <f t="shared" ref="H25:H28" si="5">IF($G25&lt;($G$4+$E$5),$E$17,0)</f>
        <v>0</v>
      </c>
      <c r="I25" s="28" t="e">
        <f t="shared" ref="I25:I29" si="6">H25*$B$20/10^3</f>
        <v>#REF!</v>
      </c>
      <c r="J25" s="27">
        <f t="shared" ref="J25:J28" si="7">IF($G25&lt;($G$4+$E$5),$E$18,0)</f>
        <v>0</v>
      </c>
      <c r="K25" s="28" t="e">
        <f t="shared" ref="K25:K29" si="8">J25*$B$21/10^3</f>
        <v>#REF!</v>
      </c>
    </row>
    <row r="26" spans="1:11" x14ac:dyDescent="0.3">
      <c r="G26" s="10">
        <f t="shared" si="2"/>
        <v>2037</v>
      </c>
      <c r="H26" s="27">
        <f t="shared" si="5"/>
        <v>0</v>
      </c>
      <c r="I26" s="26" t="e">
        <f t="shared" si="6"/>
        <v>#REF!</v>
      </c>
      <c r="J26" s="27">
        <f t="shared" si="7"/>
        <v>0</v>
      </c>
      <c r="K26" s="26" t="e">
        <f t="shared" si="8"/>
        <v>#REF!</v>
      </c>
    </row>
    <row r="27" spans="1:11" x14ac:dyDescent="0.3">
      <c r="G27" s="11">
        <f t="shared" si="2"/>
        <v>2038</v>
      </c>
      <c r="H27" s="27">
        <f t="shared" si="5"/>
        <v>0</v>
      </c>
      <c r="I27" s="28" t="e">
        <f t="shared" si="6"/>
        <v>#REF!</v>
      </c>
      <c r="J27" s="27">
        <f t="shared" si="7"/>
        <v>0</v>
      </c>
      <c r="K27" s="28" t="e">
        <f t="shared" si="8"/>
        <v>#REF!</v>
      </c>
    </row>
    <row r="28" spans="1:11" x14ac:dyDescent="0.3">
      <c r="G28" s="10">
        <f t="shared" si="2"/>
        <v>2039</v>
      </c>
      <c r="H28" s="27">
        <f t="shared" si="5"/>
        <v>0</v>
      </c>
      <c r="I28" s="26" t="e">
        <f t="shared" si="6"/>
        <v>#REF!</v>
      </c>
      <c r="J28" s="27">
        <f t="shared" si="7"/>
        <v>0</v>
      </c>
      <c r="K28" s="26" t="e">
        <f t="shared" si="8"/>
        <v>#REF!</v>
      </c>
    </row>
    <row r="29" spans="1:11" x14ac:dyDescent="0.3">
      <c r="G29" s="11">
        <f t="shared" si="2"/>
        <v>2040</v>
      </c>
      <c r="H29" s="27">
        <f>IF($G29&lt;($G$4+$E$5),$E$17,0)</f>
        <v>0</v>
      </c>
      <c r="I29" s="28" t="e">
        <f t="shared" si="6"/>
        <v>#REF!</v>
      </c>
      <c r="J29" s="27">
        <f>IF($G29&lt;($G$4+$E$5),$E$18,0)</f>
        <v>0</v>
      </c>
      <c r="K29" s="28" t="e">
        <f t="shared" si="8"/>
        <v>#REF!</v>
      </c>
    </row>
    <row r="31" spans="1:11" x14ac:dyDescent="0.3">
      <c r="A31" s="22"/>
    </row>
    <row r="53" spans="1:1" x14ac:dyDescent="0.3">
      <c r="A53" t="s">
        <v>27</v>
      </c>
    </row>
    <row r="54" spans="1:1" x14ac:dyDescent="0.3">
      <c r="A54" t="s">
        <v>28</v>
      </c>
    </row>
    <row r="55" spans="1:1" x14ac:dyDescent="0.3">
      <c r="A55" t="s">
        <v>29</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87EB5-3EA5-451C-BE8D-5E5E47BA3B11}">
  <sheetPr>
    <tabColor theme="4" tint="-0.499984740745262"/>
    <pageSetUpPr fitToPage="1"/>
  </sheetPr>
  <dimension ref="A7"/>
  <sheetViews>
    <sheetView tabSelected="1" topLeftCell="A16" zoomScale="85" zoomScaleNormal="85" workbookViewId="0">
      <selection activeCell="M33" sqref="M33"/>
    </sheetView>
  </sheetViews>
  <sheetFormatPr defaultRowHeight="14.4" x14ac:dyDescent="0.3"/>
  <cols>
    <col min="1" max="1" width="45.109375" bestFit="1" customWidth="1"/>
    <col min="2" max="2" width="12.5546875" customWidth="1"/>
    <col min="3" max="3" width="5.33203125" customWidth="1"/>
    <col min="4" max="4" width="23.5546875" customWidth="1"/>
    <col min="5" max="5" width="15.33203125" bestFit="1" customWidth="1"/>
    <col min="6" max="6" width="13.33203125" customWidth="1"/>
    <col min="7" max="7" width="4.5546875" customWidth="1"/>
  </cols>
  <sheetData>
    <row r="7" spans="1:1" x14ac:dyDescent="0.3">
      <c r="A7" s="22"/>
    </row>
  </sheetData>
  <pageMargins left="0.25" right="0.25" top="0.75" bottom="0.75" header="0.3" footer="0.3"/>
  <pageSetup paperSize="1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B2:M34"/>
  <sheetViews>
    <sheetView topLeftCell="A6" zoomScale="85" zoomScaleNormal="85" workbookViewId="0">
      <selection activeCell="H24" sqref="H24"/>
    </sheetView>
  </sheetViews>
  <sheetFormatPr defaultColWidth="9.109375" defaultRowHeight="14.4" x14ac:dyDescent="0.3"/>
  <cols>
    <col min="1" max="1" width="9.109375" style="60"/>
    <col min="2" max="2" width="38.6640625" style="60" customWidth="1"/>
    <col min="3" max="3" width="34.6640625" style="60" bestFit="1" customWidth="1"/>
    <col min="4" max="4" width="5.33203125" style="60" customWidth="1"/>
    <col min="5" max="5" width="5.88671875" style="60" customWidth="1"/>
    <col min="6" max="6" width="13.33203125" style="60" customWidth="1"/>
    <col min="7" max="7" width="4.5546875" style="60" customWidth="1"/>
    <col min="8" max="16384" width="9.109375" style="60"/>
  </cols>
  <sheetData>
    <row r="2" spans="2:6" ht="18" x14ac:dyDescent="0.3">
      <c r="B2" s="75" t="s">
        <v>46</v>
      </c>
      <c r="C2" s="76"/>
      <c r="D2" s="76"/>
      <c r="E2" s="76"/>
      <c r="F2" s="76"/>
    </row>
    <row r="4" spans="2:6" x14ac:dyDescent="0.3">
      <c r="B4" s="149" t="s">
        <v>0</v>
      </c>
      <c r="C4" s="150"/>
      <c r="E4" s="77"/>
      <c r="F4" s="78" t="s">
        <v>47</v>
      </c>
    </row>
    <row r="5" spans="2:6" x14ac:dyDescent="0.3">
      <c r="B5" s="79" t="s">
        <v>6</v>
      </c>
      <c r="C5" s="80"/>
      <c r="E5" s="81"/>
      <c r="F5" s="78" t="s">
        <v>48</v>
      </c>
    </row>
    <row r="6" spans="2:6" x14ac:dyDescent="0.3">
      <c r="B6" s="79" t="s">
        <v>49</v>
      </c>
      <c r="C6" s="80"/>
      <c r="E6" s="82"/>
      <c r="F6" s="78" t="s">
        <v>50</v>
      </c>
    </row>
    <row r="7" spans="2:6" x14ac:dyDescent="0.3">
      <c r="B7" s="79" t="s">
        <v>51</v>
      </c>
      <c r="C7" s="80"/>
    </row>
    <row r="8" spans="2:6" x14ac:dyDescent="0.3">
      <c r="B8" s="79" t="s">
        <v>52</v>
      </c>
      <c r="C8" s="80" t="s">
        <v>53</v>
      </c>
      <c r="F8" s="85"/>
    </row>
    <row r="9" spans="2:6" x14ac:dyDescent="0.3">
      <c r="C9" s="92"/>
      <c r="F9" s="85"/>
    </row>
    <row r="10" spans="2:6" x14ac:dyDescent="0.3">
      <c r="C10" s="78"/>
    </row>
    <row r="11" spans="2:6" x14ac:dyDescent="0.3">
      <c r="B11" s="149" t="s">
        <v>54</v>
      </c>
      <c r="C11" s="150"/>
      <c r="E11" s="83"/>
      <c r="F11" s="84"/>
    </row>
    <row r="12" spans="2:6" x14ac:dyDescent="0.3">
      <c r="B12" s="79" t="s">
        <v>55</v>
      </c>
      <c r="C12" s="77">
        <v>2025</v>
      </c>
      <c r="F12" s="85"/>
    </row>
    <row r="13" spans="2:6" x14ac:dyDescent="0.3">
      <c r="B13" s="79" t="s">
        <v>56</v>
      </c>
      <c r="C13" s="80" t="s">
        <v>57</v>
      </c>
    </row>
    <row r="14" spans="2:6" x14ac:dyDescent="0.3">
      <c r="B14" s="90" t="s">
        <v>58</v>
      </c>
      <c r="C14" s="80">
        <v>1.6</v>
      </c>
    </row>
    <row r="15" spans="2:6" x14ac:dyDescent="0.3">
      <c r="B15" s="93" t="s">
        <v>59</v>
      </c>
      <c r="C15" s="93">
        <f>'Assumed Values'!C8</f>
        <v>20</v>
      </c>
    </row>
    <row r="16" spans="2:6" x14ac:dyDescent="0.3">
      <c r="B16" s="91"/>
      <c r="C16" s="92"/>
    </row>
    <row r="17" spans="2:13" x14ac:dyDescent="0.3">
      <c r="B17" s="149" t="s">
        <v>60</v>
      </c>
      <c r="C17" s="150"/>
    </row>
    <row r="18" spans="2:13" x14ac:dyDescent="0.3">
      <c r="B18" s="90" t="s">
        <v>141</v>
      </c>
      <c r="C18" s="80">
        <v>655</v>
      </c>
    </row>
    <row r="19" spans="2:13" ht="43.2" x14ac:dyDescent="0.3">
      <c r="B19" s="86" t="s">
        <v>61</v>
      </c>
      <c r="C19" s="99">
        <f>VLOOKUP(Year_Open_to_Traffic?,Calculations!F4:I34,4)</f>
        <v>702.4092468070163</v>
      </c>
      <c r="F19" s="85"/>
    </row>
    <row r="20" spans="2:13" x14ac:dyDescent="0.3">
      <c r="C20" s="87"/>
      <c r="F20" s="85"/>
    </row>
    <row r="21" spans="2:13" x14ac:dyDescent="0.3">
      <c r="F21" s="85"/>
      <c r="M21" s="78"/>
    </row>
    <row r="22" spans="2:13" x14ac:dyDescent="0.3">
      <c r="C22" s="76"/>
      <c r="F22" s="85"/>
      <c r="M22" s="78"/>
    </row>
    <row r="23" spans="2:13" ht="18" x14ac:dyDescent="0.3">
      <c r="B23" s="75" t="s">
        <v>62</v>
      </c>
      <c r="F23" s="85"/>
      <c r="M23" s="78"/>
    </row>
    <row r="24" spans="2:13" ht="18" x14ac:dyDescent="0.3">
      <c r="B24" s="88"/>
      <c r="F24" s="85"/>
      <c r="M24" s="78"/>
    </row>
    <row r="25" spans="2:13" x14ac:dyDescent="0.3">
      <c r="B25" s="96" t="s">
        <v>63</v>
      </c>
      <c r="C25" s="97"/>
    </row>
    <row r="26" spans="2:13" x14ac:dyDescent="0.3">
      <c r="B26" s="89" t="s">
        <v>64</v>
      </c>
      <c r="C26" s="100">
        <f>Calculations!$M$35</f>
        <v>3510.4058074525806</v>
      </c>
    </row>
    <row r="27" spans="2:13" x14ac:dyDescent="0.3">
      <c r="B27" s="89" t="s">
        <v>65</v>
      </c>
      <c r="C27" s="100">
        <f>Calculations!$Q$35</f>
        <v>170292.7363292996</v>
      </c>
    </row>
    <row r="28" spans="2:13" x14ac:dyDescent="0.3">
      <c r="C28" s="101"/>
    </row>
    <row r="29" spans="2:13" x14ac:dyDescent="0.3">
      <c r="B29" s="96" t="s">
        <v>66</v>
      </c>
      <c r="C29" s="101"/>
    </row>
    <row r="30" spans="2:13" x14ac:dyDescent="0.3">
      <c r="B30" s="89" t="s">
        <v>67</v>
      </c>
      <c r="C30" s="100">
        <f>$C$27+$C$26</f>
        <v>173803.14213675217</v>
      </c>
    </row>
    <row r="31" spans="2:13" x14ac:dyDescent="0.3">
      <c r="C31" s="97"/>
      <c r="J31" s="98"/>
    </row>
    <row r="32" spans="2:13" x14ac:dyDescent="0.3">
      <c r="B32" s="96" t="s">
        <v>68</v>
      </c>
      <c r="C32" s="97"/>
    </row>
    <row r="33" spans="2:3" x14ac:dyDescent="0.3">
      <c r="B33" s="89" t="s">
        <v>69</v>
      </c>
      <c r="C33" s="102">
        <f>Calculations!$K$35</f>
        <v>0.23384543780927283</v>
      </c>
    </row>
    <row r="34" spans="2:3" x14ac:dyDescent="0.3">
      <c r="B34" s="89" t="s">
        <v>70</v>
      </c>
      <c r="C34" s="102">
        <f>Calculations!$O$35</f>
        <v>0.23820197637850232</v>
      </c>
    </row>
  </sheetData>
  <sheetProtection algorithmName="SHA-512" hashValue="B+qMUCkpIkHA8iA/Qs0TDzf/v31Lm35vsQhfJZyKXl5h7zTYY+PPrCJUeU6XgxFnrKEUn6nlDWr1lLWzGOUvOQ==" saltValue="sII/9/TJDtGYHsEWED40WQ==" spinCount="100000" sheet="1" objects="1" scenarios="1"/>
  <mergeCells count="3">
    <mergeCell ref="B4:C4"/>
    <mergeCell ref="B11:C11"/>
    <mergeCell ref="B17:C17"/>
  </mergeCells>
  <pageMargins left="0.25" right="0.25" top="0.75" bottom="0.75" header="0.3" footer="0.3"/>
  <pageSetup fitToHeight="0" orientation="landscape" r:id="rId1"/>
  <extLst>
    <ext xmlns:x14="http://schemas.microsoft.com/office/spreadsheetml/2009/9/main" uri="{CCE6A557-97BC-4b89-ADB6-D9C93CAAB3DF}">
      <x14:dataValidations xmlns:xm="http://schemas.microsoft.com/office/excel/2006/main" count="3">
        <x14:dataValidation type="list" operator="greaterThanOrEqual" allowBlank="1" showInputMessage="1" showErrorMessage="1" error="Year Must Be 2021 or Later" xr:uid="{00000000-0002-0000-0300-000001000000}">
          <x14:formula1>
            <xm:f>Calculations!$F$8:$F$15</xm:f>
          </x14:formula1>
          <xm:sqref>C12</xm:sqref>
        </x14:dataValidation>
        <x14:dataValidation type="list" allowBlank="1" showInputMessage="1" error="Project Must Be Located Within the " xr:uid="{00000000-0002-0000-0300-000000000000}">
          <x14:formula1>
            <xm:f>'Assumed Values'!$B$24:$B$31</xm:f>
          </x14:formula1>
          <xm:sqref>C8:C9</xm:sqref>
        </x14:dataValidation>
        <x14:dataValidation type="list" allowBlank="1" showInputMessage="1" showErrorMessage="1" xr:uid="{1BEBD6E0-1A1B-4B0E-9209-5BD67765C6D1}">
          <x14:formula1>
            <xm:f>'Service Life'!$C$4:$C$10</xm:f>
          </x14:formula1>
          <xm:sqref>C13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sheetPr>
  <dimension ref="A1:S37"/>
  <sheetViews>
    <sheetView zoomScale="85" zoomScaleNormal="85" workbookViewId="0">
      <selection activeCell="O7" sqref="O7"/>
    </sheetView>
  </sheetViews>
  <sheetFormatPr defaultColWidth="8.88671875" defaultRowHeight="14.4" x14ac:dyDescent="0.3"/>
  <cols>
    <col min="1" max="1" width="4.5546875" style="113" customWidth="1"/>
    <col min="2" max="2" width="32.88671875" style="118" customWidth="1"/>
    <col min="3" max="3" width="14" style="113" bestFit="1" customWidth="1"/>
    <col min="4" max="4" width="7.109375" style="113" customWidth="1"/>
    <col min="5" max="5" width="7.33203125" style="119" customWidth="1"/>
    <col min="6" max="6" width="7.44140625" style="120" customWidth="1"/>
    <col min="7" max="7" width="10.109375" style="120" customWidth="1"/>
    <col min="8" max="8" width="9" style="113" customWidth="1"/>
    <col min="9" max="9" width="13" style="113" customWidth="1"/>
    <col min="10" max="10" width="9.33203125" style="113" customWidth="1"/>
    <col min="11" max="11" width="10.5546875" style="113" customWidth="1"/>
    <col min="12" max="12" width="12.88671875" style="113" customWidth="1"/>
    <col min="13" max="13" width="10.33203125" style="113" customWidth="1"/>
    <col min="14" max="14" width="8.88671875" style="113" customWidth="1"/>
    <col min="15" max="15" width="10.88671875" style="113" customWidth="1"/>
    <col min="16" max="16" width="12.33203125" style="113" customWidth="1"/>
    <col min="17" max="17" width="11.33203125" style="113" customWidth="1"/>
    <col min="18" max="18" width="16.44140625" style="113" customWidth="1"/>
    <col min="19" max="19" width="14.109375" style="113" customWidth="1"/>
    <col min="20" max="20" width="12.6640625" style="113" customWidth="1"/>
    <col min="21" max="21" width="12" style="113" customWidth="1"/>
    <col min="22" max="23" width="11.6640625" style="113" customWidth="1"/>
    <col min="24" max="24" width="10.109375" style="113" customWidth="1"/>
    <col min="25" max="16384" width="8.88671875" style="113"/>
  </cols>
  <sheetData>
    <row r="1" spans="1:19" x14ac:dyDescent="0.3">
      <c r="A1"/>
      <c r="B1" s="123"/>
      <c r="C1"/>
      <c r="D1"/>
      <c r="E1" s="105"/>
      <c r="F1" t="s">
        <v>71</v>
      </c>
      <c r="G1" s="35"/>
      <c r="H1"/>
      <c r="I1"/>
      <c r="J1"/>
      <c r="K1"/>
      <c r="L1"/>
      <c r="M1"/>
      <c r="N1"/>
      <c r="O1"/>
      <c r="P1"/>
      <c r="Q1"/>
      <c r="R1"/>
    </row>
    <row r="2" spans="1:19" x14ac:dyDescent="0.3">
      <c r="A2"/>
      <c r="B2" s="123"/>
      <c r="C2"/>
      <c r="D2"/>
      <c r="E2" s="105"/>
      <c r="F2" s="35"/>
      <c r="G2" s="35"/>
      <c r="H2"/>
      <c r="I2"/>
      <c r="J2"/>
      <c r="K2"/>
      <c r="L2"/>
      <c r="M2"/>
      <c r="N2"/>
      <c r="O2"/>
      <c r="P2"/>
      <c r="Q2"/>
      <c r="R2"/>
    </row>
    <row r="3" spans="1:19" x14ac:dyDescent="0.3">
      <c r="A3"/>
      <c r="B3" s="123"/>
      <c r="C3"/>
      <c r="D3"/>
      <c r="E3" s="105"/>
      <c r="F3"/>
      <c r="G3"/>
      <c r="H3"/>
      <c r="I3"/>
      <c r="J3"/>
      <c r="K3"/>
      <c r="L3"/>
      <c r="M3"/>
      <c r="N3"/>
      <c r="O3"/>
      <c r="P3"/>
      <c r="Q3" s="105"/>
      <c r="R3" s="35"/>
    </row>
    <row r="4" spans="1:19" s="118" customFormat="1" ht="44.25" customHeight="1" x14ac:dyDescent="0.3">
      <c r="A4" s="123"/>
      <c r="B4" s="124" t="s">
        <v>72</v>
      </c>
      <c r="C4" s="123"/>
      <c r="D4" s="123"/>
      <c r="E4" s="103"/>
      <c r="F4" s="125" t="s">
        <v>3</v>
      </c>
      <c r="G4" s="104" t="s">
        <v>73</v>
      </c>
      <c r="H4" s="125" t="s">
        <v>74</v>
      </c>
      <c r="I4" s="125" t="s">
        <v>75</v>
      </c>
      <c r="J4" s="125" t="s">
        <v>76</v>
      </c>
      <c r="K4" s="125" t="s">
        <v>77</v>
      </c>
      <c r="L4" s="126" t="s">
        <v>78</v>
      </c>
      <c r="M4" s="127" t="s">
        <v>147</v>
      </c>
      <c r="N4" s="125" t="s">
        <v>79</v>
      </c>
      <c r="O4" s="125" t="s">
        <v>80</v>
      </c>
      <c r="P4" s="125" t="s">
        <v>81</v>
      </c>
      <c r="Q4" s="128" t="s">
        <v>144</v>
      </c>
      <c r="R4" s="123"/>
    </row>
    <row r="5" spans="1:19" x14ac:dyDescent="0.3">
      <c r="A5"/>
      <c r="B5" s="129" t="s">
        <v>82</v>
      </c>
      <c r="C5" s="121">
        <f>IF('Growth Rates'!$C$16&lt;&gt;0,'Growth Rates'!$C$16,VLOOKUP('Inputs &amp; Outputs'!$C$8,'Growth Rates'!$B$4:$D$11,2,FALSE))</f>
        <v>3.5558076341622114E-2</v>
      </c>
      <c r="D5"/>
      <c r="E5" s="105"/>
      <c r="F5" s="130">
        <v>2023</v>
      </c>
      <c r="G5" s="106">
        <f t="shared" ref="G5:G14" si="0">$C$5</f>
        <v>3.5558076341622114E-2</v>
      </c>
      <c r="H5" s="131">
        <f>IF(AND(F5&gt;=Year_Open_to_Traffic?,F5&lt;Year_Open_to_Traffic?+'Assumed Values'!C$8),1,0)</f>
        <v>0</v>
      </c>
      <c r="I5" s="107">
        <f>'Inputs &amp; Outputs'!C18</f>
        <v>655</v>
      </c>
      <c r="J5" s="107">
        <f>H5*(I5*'Assumed Values'!$C$6)</f>
        <v>0</v>
      </c>
      <c r="K5" s="108">
        <f>(J5*(1/907184))*260</f>
        <v>0</v>
      </c>
      <c r="L5" s="109">
        <f>K5*INDEX('Value of Emissions'!C$4:C$34,MATCH(F5,'Value of Emissions'!B$4:B$34,1))</f>
        <v>0</v>
      </c>
      <c r="M5" s="110">
        <f>L5/(1.031^(F5-$F$5))</f>
        <v>0</v>
      </c>
      <c r="N5" s="107">
        <f>H5*(I5*'Assumed Values'!$C$5)</f>
        <v>0</v>
      </c>
      <c r="O5" s="108">
        <f t="shared" ref="O5:O34" si="1">(N5*(1/907184.74))*260</f>
        <v>0</v>
      </c>
      <c r="P5" s="109">
        <f>K5*INDEX('Value of Emissions'!D$4:D$34,MATCH(F5,'Value of Emissions'!B$4:B$34,1))</f>
        <v>0</v>
      </c>
      <c r="Q5" s="110">
        <f>P5/(1.031^(F5-$F$5))</f>
        <v>0</v>
      </c>
      <c r="R5"/>
    </row>
    <row r="6" spans="1:19" x14ac:dyDescent="0.3">
      <c r="A6"/>
      <c r="B6" s="129" t="s">
        <v>83</v>
      </c>
      <c r="C6" s="121">
        <f>IF('Growth Rates'!$C$16&lt;&gt;0,'Growth Rates'!$C$16,VLOOKUP('Inputs &amp; Outputs'!$C$8,'Growth Rates'!$B$4:$D$11,3,FALSE))</f>
        <v>3.5558076341622114E-2</v>
      </c>
      <c r="D6"/>
      <c r="E6" s="105"/>
      <c r="F6" s="10">
        <f t="shared" ref="F6:F34" si="2">F5+1</f>
        <v>2024</v>
      </c>
      <c r="G6" s="106">
        <f>$C$5</f>
        <v>3.5558076341622114E-2</v>
      </c>
      <c r="H6" s="131">
        <f>IF(AND(F6&gt;=Year_Open_to_Traffic?,F6&lt;Year_Open_to_Traffic?+'Assumed Values'!C$8),1,0)</f>
        <v>0</v>
      </c>
      <c r="I6" s="107">
        <f>I5+(I5*G5)</f>
        <v>678.29054000376243</v>
      </c>
      <c r="J6" s="107">
        <f>H6*(I6*'Assumed Values'!$C$6)</f>
        <v>0</v>
      </c>
      <c r="K6" s="108">
        <f t="shared" ref="K6:K34" si="3">(J6*(1/907184))*260</f>
        <v>0</v>
      </c>
      <c r="L6" s="109">
        <f>K6*INDEX('Value of Emissions'!C$4:C$34,MATCH(F6,'Value of Emissions'!B$4:B$34,1))</f>
        <v>0</v>
      </c>
      <c r="M6" s="110">
        <f t="shared" ref="M6:M34" si="4">L6/(1.031^(F6-$F$5))</f>
        <v>0</v>
      </c>
      <c r="N6" s="107">
        <f>H6*(I6*'Assumed Values'!$C$5)</f>
        <v>0</v>
      </c>
      <c r="O6" s="108">
        <f t="shared" si="1"/>
        <v>0</v>
      </c>
      <c r="P6" s="109">
        <f>K6*INDEX('Value of Emissions'!D$4:D$34,MATCH(F6,'Value of Emissions'!B$4:B$34,1))</f>
        <v>0</v>
      </c>
      <c r="Q6" s="110">
        <f t="shared" ref="Q6:Q34" si="5">P6/(1.031^(F6-$F$5))</f>
        <v>0</v>
      </c>
      <c r="R6"/>
      <c r="S6" s="143"/>
    </row>
    <row r="7" spans="1:19" x14ac:dyDescent="0.3">
      <c r="A7"/>
      <c r="B7" s="123"/>
      <c r="C7" s="111"/>
      <c r="D7"/>
      <c r="E7" s="105"/>
      <c r="F7" s="130">
        <f t="shared" si="2"/>
        <v>2025</v>
      </c>
      <c r="G7" s="106">
        <f t="shared" si="0"/>
        <v>3.5558076341622114E-2</v>
      </c>
      <c r="H7" s="131">
        <f>IF(AND(F7&gt;=Year_Open_to_Traffic?,F7&lt;Year_Open_to_Traffic?+'Assumed Values'!C$8),1,0)</f>
        <v>1</v>
      </c>
      <c r="I7" s="107">
        <f t="shared" ref="I7:I14" si="6">I6+(I6*G6)</f>
        <v>702.4092468070163</v>
      </c>
      <c r="J7" s="107">
        <f>H7*(I7*'Assumed Values'!$C$6)</f>
        <v>28.686966631838136</v>
      </c>
      <c r="K7" s="108">
        <f t="shared" si="3"/>
        <v>8.2217183330811766E-3</v>
      </c>
      <c r="L7" s="109">
        <f>K7*INDEX('Value of Emissions'!C$4:C$34,MATCH(F7,'Value of Emissions'!B$4:B$34,1))</f>
        <v>166.90088216154788</v>
      </c>
      <c r="M7" s="110">
        <f t="shared" si="4"/>
        <v>157.01505714842588</v>
      </c>
      <c r="N7" s="107">
        <f>H7*(I7*'Assumed Values'!$C$5)</f>
        <v>29.221428418770884</v>
      </c>
      <c r="O7" s="108">
        <f t="shared" si="1"/>
        <v>8.3748888775184108E-3</v>
      </c>
      <c r="P7" s="109">
        <f>K7*INDEX('Value of Emissions'!D$4:D$34,MATCH(F7,'Value of Emissions'!B$4:B$34,1))</f>
        <v>8020.2862339206877</v>
      </c>
      <c r="Q7" s="110">
        <f t="shared" si="5"/>
        <v>7545.2309481915981</v>
      </c>
      <c r="R7"/>
    </row>
    <row r="8" spans="1:19" x14ac:dyDescent="0.3">
      <c r="A8"/>
      <c r="B8" s="123"/>
      <c r="C8" s="35"/>
      <c r="D8"/>
      <c r="E8" s="105"/>
      <c r="F8" s="10">
        <f t="shared" si="2"/>
        <v>2026</v>
      </c>
      <c r="G8" s="106">
        <f t="shared" si="0"/>
        <v>3.5558076341622114E-2</v>
      </c>
      <c r="H8" s="131">
        <f>IF(AND(F8&gt;=Year_Open_to_Traffic?,F8&lt;Year_Open_to_Traffic?+'Assumed Values'!C$8),1,0)</f>
        <v>1</v>
      </c>
      <c r="I8" s="107">
        <f t="shared" si="6"/>
        <v>727.38556842804144</v>
      </c>
      <c r="J8" s="107">
        <f>H8*(I8*'Assumed Values'!$C$6)</f>
        <v>29.707019981342601</v>
      </c>
      <c r="K8" s="108">
        <f t="shared" si="3"/>
        <v>8.514066821228192E-3</v>
      </c>
      <c r="L8" s="109">
        <f>K8*INDEX('Value of Emissions'!C$4:C$34,MATCH(F8,'Value of Emissions'!B$4:B$34,1))</f>
        <v>175.38977651730076</v>
      </c>
      <c r="M8" s="110">
        <f t="shared" si="4"/>
        <v>160.03990277115108</v>
      </c>
      <c r="N8" s="107">
        <f>H8*(I8*'Assumed Values'!$C$5)</f>
        <v>30.260486201296786</v>
      </c>
      <c r="O8" s="108">
        <f t="shared" si="1"/>
        <v>8.6726838155778106E-3</v>
      </c>
      <c r="P8" s="109">
        <f>K8*INDEX('Value of Emissions'!D$4:D$34,MATCH(F8,'Value of Emissions'!B$4:B$34,1))</f>
        <v>8458.725386890208</v>
      </c>
      <c r="Q8" s="110">
        <f t="shared" si="5"/>
        <v>7718.4292914144935</v>
      </c>
      <c r="R8"/>
    </row>
    <row r="9" spans="1:19" x14ac:dyDescent="0.3">
      <c r="A9"/>
      <c r="B9" s="123"/>
      <c r="C9" s="35"/>
      <c r="D9"/>
      <c r="E9" s="105"/>
      <c r="F9" s="130">
        <f t="shared" si="2"/>
        <v>2027</v>
      </c>
      <c r="G9" s="106">
        <f t="shared" si="0"/>
        <v>3.5558076341622114E-2</v>
      </c>
      <c r="H9" s="131">
        <f>IF(AND(F9&gt;=Year_Open_to_Traffic?,F9&lt;Year_Open_to_Traffic?+'Assumed Values'!C$8),1,0)</f>
        <v>1</v>
      </c>
      <c r="I9" s="107">
        <f t="shared" si="6"/>
        <v>753.24999999999989</v>
      </c>
      <c r="J9" s="107">
        <f>H9*(I9*'Assumed Values'!$C$6)</f>
        <v>30.763344465721271</v>
      </c>
      <c r="K9" s="108">
        <f t="shared" si="3"/>
        <v>8.8168106592350949E-3</v>
      </c>
      <c r="L9" s="109">
        <f>K9*INDEX('Value of Emissions'!C$4:C$34,MATCH(F9,'Value of Emissions'!B$4:B$34,1))</f>
        <v>185.15302384393701</v>
      </c>
      <c r="M9" s="110">
        <f t="shared" si="4"/>
        <v>163.86875269007666</v>
      </c>
      <c r="N9" s="107">
        <f>H9*(I9*'Assumed Values'!$C$5)</f>
        <v>31.336490879777099</v>
      </c>
      <c r="O9" s="108">
        <f t="shared" si="1"/>
        <v>8.9810677687788762E-3</v>
      </c>
      <c r="P9" s="109">
        <f>K9*INDEX('Value of Emissions'!D$4:D$34,MATCH(F9,'Value of Emissions'!B$4:B$34,1))</f>
        <v>8921.7307060799922</v>
      </c>
      <c r="Q9" s="110">
        <f t="shared" si="5"/>
        <v>7896.1328974804064</v>
      </c>
      <c r="R9"/>
      <c r="S9" s="122"/>
    </row>
    <row r="10" spans="1:19" x14ac:dyDescent="0.3">
      <c r="A10"/>
      <c r="B10" s="132" t="s">
        <v>84</v>
      </c>
      <c r="C10"/>
      <c r="D10"/>
      <c r="E10" s="105"/>
      <c r="F10" s="10">
        <f t="shared" si="2"/>
        <v>2028</v>
      </c>
      <c r="G10" s="106">
        <f t="shared" si="0"/>
        <v>3.5558076341622114E-2</v>
      </c>
      <c r="H10" s="131">
        <f>IF(AND(F10&gt;=Year_Open_to_Traffic?,F10&lt;Year_Open_to_Traffic?+'Assumed Values'!C$8),1,0)</f>
        <v>1</v>
      </c>
      <c r="I10" s="107">
        <f t="shared" si="6"/>
        <v>780.03412100432672</v>
      </c>
      <c r="J10" s="107">
        <f>H10*(I10*'Assumed Values'!$C$6)</f>
        <v>31.857229816757005</v>
      </c>
      <c r="K10" s="108">
        <f t="shared" si="3"/>
        <v>9.1303194857458043E-3</v>
      </c>
      <c r="L10" s="109">
        <f>K10*INDEX('Value of Emissions'!C$4:C$34,MATCH(F10,'Value of Emissions'!B$4:B$34,1))</f>
        <v>194.47580504638563</v>
      </c>
      <c r="M10" s="110">
        <f t="shared" si="4"/>
        <v>166.94455219460735</v>
      </c>
      <c r="N10" s="107">
        <f>H10*(I10*'Assumed Values'!$C$5)</f>
        <v>32.450756214758755</v>
      </c>
      <c r="O10" s="108">
        <f t="shared" si="1"/>
        <v>9.300417262130399E-3</v>
      </c>
      <c r="P10" s="109">
        <f>K10*INDEX('Value of Emissions'!D$4:D$34,MATCH(F10,'Value of Emissions'!B$4:B$34,1))</f>
        <v>9409.707262009626</v>
      </c>
      <c r="Q10" s="110">
        <f t="shared" si="5"/>
        <v>8077.608239049875</v>
      </c>
      <c r="R10"/>
      <c r="S10" s="122"/>
    </row>
    <row r="11" spans="1:19" ht="28.8" x14ac:dyDescent="0.3">
      <c r="A11"/>
      <c r="B11" s="133" t="s">
        <v>85</v>
      </c>
      <c r="C11" s="134">
        <f>'Inputs &amp; Outputs'!C19</f>
        <v>702.4092468070163</v>
      </c>
      <c r="D11"/>
      <c r="E11" s="105"/>
      <c r="F11" s="130">
        <f t="shared" si="2"/>
        <v>2029</v>
      </c>
      <c r="G11" s="106">
        <f t="shared" si="0"/>
        <v>3.5558076341622114E-2</v>
      </c>
      <c r="H11" s="131">
        <f>IF(AND(F11&gt;=Year_Open_to_Traffic?,F11&lt;Year_Open_to_Traffic?+'Assumed Values'!C$8),1,0)</f>
        <v>1</v>
      </c>
      <c r="I11" s="107">
        <f t="shared" si="6"/>
        <v>807.77063382806864</v>
      </c>
      <c r="J11" s="107">
        <f>H11*(I11*'Assumed Values'!$C$6)</f>
        <v>32.99001162661385</v>
      </c>
      <c r="K11" s="108">
        <f t="shared" si="3"/>
        <v>9.4549760830433521E-3</v>
      </c>
      <c r="L11" s="109">
        <f>K11*INDEX('Value of Emissions'!C$4:C$34,MATCH(F11,'Value of Emissions'!B$4:B$34,1))</f>
        <v>205.17298100204073</v>
      </c>
      <c r="M11" s="110">
        <f t="shared" si="4"/>
        <v>170.83158751847813</v>
      </c>
      <c r="N11" s="107">
        <f>H11*(I11*'Assumed Values'!$C$5)</f>
        <v>33.604642681586512</v>
      </c>
      <c r="O11" s="108">
        <f t="shared" si="1"/>
        <v>9.6311222091461698E-3</v>
      </c>
      <c r="P11" s="109">
        <f>K11*INDEX('Value of Emissions'!D$4:D$34,MATCH(F11,'Value of Emissions'!B$4:B$34,1))</f>
        <v>9923.9428967623026</v>
      </c>
      <c r="Q11" s="110">
        <f t="shared" si="5"/>
        <v>8262.895587990537</v>
      </c>
      <c r="R11"/>
      <c r="S11" s="122"/>
    </row>
    <row r="12" spans="1:19" x14ac:dyDescent="0.3">
      <c r="A12"/>
      <c r="B12" s="135"/>
      <c r="C12" s="136"/>
      <c r="D12"/>
      <c r="E12" s="105"/>
      <c r="F12" s="10">
        <f t="shared" si="2"/>
        <v>2030</v>
      </c>
      <c r="G12" s="106">
        <f t="shared" si="0"/>
        <v>3.5558076341622114E-2</v>
      </c>
      <c r="H12" s="131">
        <f>IF(AND(F12&gt;=Year_Open_to_Traffic?,F12&lt;Year_Open_to_Traffic?+'Assumed Values'!C$8),1,0)</f>
        <v>1</v>
      </c>
      <c r="I12" s="107">
        <f t="shared" si="6"/>
        <v>836.49340369224763</v>
      </c>
      <c r="J12" s="107">
        <f>H12*(I12*'Assumed Values'!$C$6)</f>
        <v>34.163072978543987</v>
      </c>
      <c r="K12" s="108">
        <f t="shared" si="3"/>
        <v>9.7911768444124189E-3</v>
      </c>
      <c r="L12" s="109">
        <f>K12*INDEX('Value of Emissions'!C$4:C$34,MATCH(F12,'Value of Emissions'!B$4:B$34,1))</f>
        <v>215.40589057707322</v>
      </c>
      <c r="M12" s="110">
        <f t="shared" si="4"/>
        <v>173.95900643545286</v>
      </c>
      <c r="N12" s="107">
        <f>H12*(I12*'Assumed Values'!$C$5)</f>
        <v>34.7995591314913</v>
      </c>
      <c r="O12" s="108">
        <f t="shared" si="1"/>
        <v>9.9735863879144831E-3</v>
      </c>
      <c r="P12" s="109">
        <f>K12*INDEX('Value of Emissions'!D$4:D$34,MATCH(F12,'Value of Emissions'!B$4:B$34,1))</f>
        <v>10466.768046676876</v>
      </c>
      <c r="Q12" s="110">
        <f t="shared" si="5"/>
        <v>8452.8262672499586</v>
      </c>
      <c r="R12"/>
    </row>
    <row r="13" spans="1:19" x14ac:dyDescent="0.3">
      <c r="A13"/>
      <c r="B13" s="123"/>
      <c r="C13"/>
      <c r="D13"/>
      <c r="E13" s="105"/>
      <c r="F13" s="130">
        <f t="shared" si="2"/>
        <v>2031</v>
      </c>
      <c r="G13" s="106">
        <f t="shared" si="0"/>
        <v>3.5558076341622114E-2</v>
      </c>
      <c r="H13" s="131">
        <f>IF(AND(F13&gt;=Year_Open_to_Traffic?,F13&lt;Year_Open_to_Traffic?+'Assumed Values'!C$8),1,0)</f>
        <v>1</v>
      </c>
      <c r="I13" s="107">
        <f t="shared" si="6"/>
        <v>866.23749999999984</v>
      </c>
      <c r="J13" s="107">
        <f>H13*(I13*'Assumed Values'!$C$6)</f>
        <v>35.37784613557946</v>
      </c>
      <c r="K13" s="108">
        <f t="shared" si="3"/>
        <v>1.0139332258120359E-2</v>
      </c>
      <c r="L13" s="109">
        <f>K13*INDEX('Value of Emissions'!C$4:C$34,MATCH(F13,'Value of Emissions'!B$4:B$34,1))</f>
        <v>223.06530967864791</v>
      </c>
      <c r="M13" s="110">
        <f t="shared" si="4"/>
        <v>174.72808347875599</v>
      </c>
      <c r="N13" s="107">
        <f>H13*(I13*'Assumed Values'!$C$5)</f>
        <v>36.036964511743662</v>
      </c>
      <c r="O13" s="108">
        <f t="shared" si="1"/>
        <v>1.0328227934095709E-2</v>
      </c>
      <c r="P13" s="109">
        <f>K13*INDEX('Value of Emissions'!D$4:D$34,MATCH(F13,'Value of Emissions'!B$4:B$34,1))</f>
        <v>10838.946183930664</v>
      </c>
      <c r="Q13" s="110">
        <f t="shared" si="5"/>
        <v>8490.1964199450067</v>
      </c>
      <c r="R13"/>
    </row>
    <row r="14" spans="1:19" x14ac:dyDescent="0.3">
      <c r="A14"/>
      <c r="B14" s="123"/>
      <c r="C14"/>
      <c r="D14"/>
      <c r="E14" s="105"/>
      <c r="F14" s="10">
        <f t="shared" si="2"/>
        <v>2032</v>
      </c>
      <c r="G14" s="106">
        <f t="shared" si="0"/>
        <v>3.5558076341622114E-2</v>
      </c>
      <c r="H14" s="131">
        <f>IF(AND(F14&gt;=Year_Open_to_Traffic?,F14&lt;Year_Open_to_Traffic?+'Assumed Values'!C$8),1,0)</f>
        <v>1</v>
      </c>
      <c r="I14" s="107">
        <f t="shared" si="6"/>
        <v>897.03923915497569</v>
      </c>
      <c r="J14" s="107">
        <f>H14*(I14*'Assumed Values'!$C$6)</f>
        <v>36.635814289270556</v>
      </c>
      <c r="K14" s="108">
        <f t="shared" si="3"/>
        <v>1.0499867408607675E-2</v>
      </c>
      <c r="L14" s="109">
        <f>K14*INDEX('Value of Emissions'!C$4:C$34,MATCH(F14,'Value of Emissions'!B$4:B$34,1))</f>
        <v>230.99708298936886</v>
      </c>
      <c r="M14" s="110">
        <f t="shared" si="4"/>
        <v>175.50056063057124</v>
      </c>
      <c r="N14" s="107">
        <f>H14*(I14*'Assumed Values'!$C$5)</f>
        <v>37.31836964697257</v>
      </c>
      <c r="O14" s="108">
        <f t="shared" si="1"/>
        <v>1.0695479851449958E-2</v>
      </c>
      <c r="P14" s="109">
        <f>K14*INDEX('Value of Emissions'!D$4:D$34,MATCH(F14,'Value of Emissions'!B$4:B$34,1))</f>
        <v>11224.358259801604</v>
      </c>
      <c r="Q14" s="110">
        <f t="shared" si="5"/>
        <v>8527.7317870036659</v>
      </c>
      <c r="R14"/>
    </row>
    <row r="15" spans="1:19" ht="28.8" x14ac:dyDescent="0.3">
      <c r="A15"/>
      <c r="B15" s="132" t="s">
        <v>86</v>
      </c>
      <c r="C15" s="36">
        <f>$C$11*'Assumed Values'!C$6</f>
        <v>28.686966631838136</v>
      </c>
      <c r="D15"/>
      <c r="E15" s="105"/>
      <c r="F15" s="130">
        <f t="shared" si="2"/>
        <v>2033</v>
      </c>
      <c r="G15" s="112">
        <f t="shared" ref="G15:G34" si="7">$C$6</f>
        <v>3.5558076341622114E-2</v>
      </c>
      <c r="H15" s="131">
        <f>IF(AND(F15&gt;=Year_Open_to_Traffic?,F15&lt;Year_Open_to_Traffic?+'Assumed Values'!C$8),1,0)</f>
        <v>1</v>
      </c>
      <c r="I15" s="107">
        <f>I14+(I14*G15)</f>
        <v>928.93622890227891</v>
      </c>
      <c r="J15" s="107">
        <f>H15*(I15*'Assumed Values'!$C$6)</f>
        <v>37.938513370605925</v>
      </c>
      <c r="K15" s="108">
        <f t="shared" si="3"/>
        <v>1.0873222495499855E-2</v>
      </c>
      <c r="L15" s="109">
        <f>K15*INDEX('Value of Emissions'!C$4:C$34,MATCH(F15,'Value of Emissions'!B$4:B$34,1))</f>
        <v>239.21089490099681</v>
      </c>
      <c r="M15" s="110">
        <f t="shared" si="4"/>
        <v>176.27645292286184</v>
      </c>
      <c r="N15" s="107">
        <f>H15*(I15*'Assumed Values'!$C$5)</f>
        <v>38.645339083824489</v>
      </c>
      <c r="O15" s="108">
        <f t="shared" si="1"/>
        <v>1.1075790540518094E-2</v>
      </c>
      <c r="P15" s="109">
        <f>K15*INDEX('Value of Emissions'!D$4:D$34,MATCH(F15,'Value of Emissions'!B$4:B$34,1))</f>
        <v>11623.474847689346</v>
      </c>
      <c r="Q15" s="110">
        <f t="shared" si="5"/>
        <v>8565.4330988426955</v>
      </c>
      <c r="R15"/>
    </row>
    <row r="16" spans="1:19" x14ac:dyDescent="0.3">
      <c r="A16"/>
      <c r="B16" s="123"/>
      <c r="C16"/>
      <c r="D16"/>
      <c r="E16" s="105"/>
      <c r="F16" s="10">
        <f t="shared" si="2"/>
        <v>2034</v>
      </c>
      <c r="G16" s="112">
        <f t="shared" si="7"/>
        <v>3.5558076341622114E-2</v>
      </c>
      <c r="H16" s="131">
        <f>IF(AND(F16&gt;=Year_Open_to_Traffic?,F16&lt;Year_Open_to_Traffic?+'Assumed Values'!C$8),1,0)</f>
        <v>1</v>
      </c>
      <c r="I16" s="107">
        <f t="shared" ref="I16:I34" si="8">I15+(I15*G16)</f>
        <v>961.96741424608467</v>
      </c>
      <c r="J16" s="107">
        <f>H16*(I16*'Assumed Values'!$C$6)</f>
        <v>39.287533925325583</v>
      </c>
      <c r="K16" s="108">
        <f t="shared" si="3"/>
        <v>1.1259853371074281E-2</v>
      </c>
      <c r="L16" s="109">
        <f>K16*INDEX('Value of Emissions'!C$4:C$34,MATCH(F16,'Value of Emissions'!B$4:B$34,1))</f>
        <v>247.71677416363417</v>
      </c>
      <c r="M16" s="110">
        <f t="shared" si="4"/>
        <v>177.05577545404782</v>
      </c>
      <c r="N16" s="107">
        <f>H16*(I16*'Assumed Values'!$C$5)</f>
        <v>40.01949300121499</v>
      </c>
      <c r="O16" s="108">
        <f t="shared" si="1"/>
        <v>1.1469624346101654E-2</v>
      </c>
      <c r="P16" s="109">
        <f>K16*INDEX('Value of Emissions'!D$4:D$34,MATCH(F16,'Value of Emissions'!B$4:B$34,1))</f>
        <v>12036.783253678406</v>
      </c>
      <c r="Q16" s="110">
        <f t="shared" si="5"/>
        <v>8603.3010891080503</v>
      </c>
      <c r="R16"/>
    </row>
    <row r="17" spans="1:18" ht="28.8" x14ac:dyDescent="0.3">
      <c r="A17"/>
      <c r="B17" s="132" t="s">
        <v>87</v>
      </c>
      <c r="C17" s="36">
        <f>$C$11*'Assumed Values'!C$5</f>
        <v>29.221428418770884</v>
      </c>
      <c r="D17"/>
      <c r="E17" s="105"/>
      <c r="F17" s="130">
        <f t="shared" si="2"/>
        <v>2035</v>
      </c>
      <c r="G17" s="112">
        <f t="shared" si="7"/>
        <v>3.5558076341622114E-2</v>
      </c>
      <c r="H17" s="131">
        <f>IF(AND(F17&gt;=Year_Open_to_Traffic?,F17&lt;Year_Open_to_Traffic?+'Assumed Values'!C$8),1,0)</f>
        <v>1</v>
      </c>
      <c r="I17" s="107">
        <f t="shared" si="8"/>
        <v>996.1731249999998</v>
      </c>
      <c r="J17" s="107">
        <f>H17*(I17*'Assumed Values'!$C$6)</f>
        <v>40.68452305591638</v>
      </c>
      <c r="K17" s="108">
        <f t="shared" si="3"/>
        <v>1.1660232096838414E-2</v>
      </c>
      <c r="L17" s="109">
        <f>K17*INDEX('Value of Emissions'!C$4:C$34,MATCH(F17,'Value of Emissions'!B$4:B$34,1))</f>
        <v>256.52510613044512</v>
      </c>
      <c r="M17" s="110">
        <f t="shared" si="4"/>
        <v>177.8385433892997</v>
      </c>
      <c r="N17" s="107">
        <f>H17*(I17*'Assumed Values'!$C$5)</f>
        <v>41.442509188505205</v>
      </c>
      <c r="O17" s="108">
        <f t="shared" si="1"/>
        <v>1.1877462124210064E-2</v>
      </c>
      <c r="P17" s="109">
        <f>K17*INDEX('Value of Emissions'!D$4:D$34,MATCH(F17,'Value of Emissions'!B$4:B$34,1))</f>
        <v>12464.788111520264</v>
      </c>
      <c r="Q17" s="110">
        <f t="shared" si="5"/>
        <v>8641.3364946891525</v>
      </c>
      <c r="R17"/>
    </row>
    <row r="18" spans="1:18" x14ac:dyDescent="0.3">
      <c r="A18"/>
      <c r="B18" s="123"/>
      <c r="C18"/>
      <c r="D18"/>
      <c r="E18" s="105"/>
      <c r="F18" s="10">
        <f t="shared" si="2"/>
        <v>2036</v>
      </c>
      <c r="G18" s="112">
        <f t="shared" si="7"/>
        <v>3.5558076341622114E-2</v>
      </c>
      <c r="H18" s="131">
        <f>IF(AND(F18&gt;=Year_Open_to_Traffic?,F18&lt;Year_Open_to_Traffic?+'Assumed Values'!C$8),1,0)</f>
        <v>1</v>
      </c>
      <c r="I18" s="107">
        <f t="shared" si="8"/>
        <v>1031.5951250282221</v>
      </c>
      <c r="J18" s="107">
        <f>H18*(I18*'Assumed Values'!$C$6)</f>
        <v>42.131186432661146</v>
      </c>
      <c r="K18" s="108">
        <f t="shared" si="3"/>
        <v>1.2074847519898827E-2</v>
      </c>
      <c r="L18" s="109">
        <f>K18*INDEX('Value of Emissions'!C$4:C$34,MATCH(F18,'Value of Emissions'!B$4:B$34,1))</f>
        <v>265.64664543777417</v>
      </c>
      <c r="M18" s="110">
        <f t="shared" si="4"/>
        <v>178.62477196083344</v>
      </c>
      <c r="N18" s="107">
        <f>H18*(I18*'Assumed Values'!$C$5)</f>
        <v>42.916125094018454</v>
      </c>
      <c r="O18" s="108">
        <f t="shared" si="1"/>
        <v>1.2299801829167453E-2</v>
      </c>
      <c r="P18" s="109">
        <f>K18*INDEX('Value of Emissions'!D$4:D$34,MATCH(F18,'Value of Emissions'!B$4:B$34,1))</f>
        <v>12908.011998771846</v>
      </c>
      <c r="Q18" s="110">
        <f t="shared" si="5"/>
        <v>8679.5400557332268</v>
      </c>
      <c r="R18"/>
    </row>
    <row r="19" spans="1:18" x14ac:dyDescent="0.3">
      <c r="A19"/>
      <c r="B19" s="123"/>
      <c r="C19"/>
      <c r="D19"/>
      <c r="E19" s="105"/>
      <c r="F19" s="130">
        <f t="shared" si="2"/>
        <v>2037</v>
      </c>
      <c r="G19" s="112">
        <f t="shared" si="7"/>
        <v>3.5558076341622114E-2</v>
      </c>
      <c r="H19" s="131">
        <f>IF(AND(F19&gt;=Year_Open_to_Traffic?,F19&lt;Year_Open_to_Traffic?+'Assumed Values'!C$8),1,0)</f>
        <v>1</v>
      </c>
      <c r="I19" s="107">
        <f t="shared" si="8"/>
        <v>1068.2766632376208</v>
      </c>
      <c r="J19" s="107">
        <f>H19*(I19*'Assumed Values'!$C$6)</f>
        <v>43.62929037619682</v>
      </c>
      <c r="K19" s="108">
        <f t="shared" si="3"/>
        <v>1.2504205869824835E-2</v>
      </c>
      <c r="L19" s="109">
        <f>K19*INDEX('Value of Emissions'!C$4:C$34,MATCH(F19,'Value of Emissions'!B$4:B$34,1))</f>
        <v>275.09252913614637</v>
      </c>
      <c r="M19" s="110">
        <f t="shared" si="4"/>
        <v>179.41447646820723</v>
      </c>
      <c r="N19" s="107">
        <f>H19*(I19*'Assumed Values'!$C$5)</f>
        <v>44.442139946398164</v>
      </c>
      <c r="O19" s="108">
        <f t="shared" si="1"/>
        <v>1.2737159121595811E-2</v>
      </c>
      <c r="P19" s="109">
        <f>K19*INDEX('Value of Emissions'!D$4:D$34,MATCH(F19,'Value of Emissions'!B$4:B$34,1))</f>
        <v>13366.996074842747</v>
      </c>
      <c r="Q19" s="110">
        <f t="shared" si="5"/>
        <v>8717.9125156597038</v>
      </c>
      <c r="R19"/>
    </row>
    <row r="20" spans="1:18" x14ac:dyDescent="0.3">
      <c r="A20"/>
      <c r="B20" s="123"/>
      <c r="C20"/>
      <c r="D20"/>
      <c r="E20" s="105"/>
      <c r="F20" s="10">
        <f t="shared" si="2"/>
        <v>2038</v>
      </c>
      <c r="G20" s="112">
        <f t="shared" si="7"/>
        <v>3.5558076341622114E-2</v>
      </c>
      <c r="H20" s="131">
        <f>IF(AND(F20&gt;=Year_Open_to_Traffic?,F20&lt;Year_Open_to_Traffic?+'Assumed Values'!C$8),1,0)</f>
        <v>1</v>
      </c>
      <c r="I20" s="107">
        <f t="shared" si="8"/>
        <v>1106.2625263829975</v>
      </c>
      <c r="J20" s="107">
        <f>H20*(I20*'Assumed Values'!$C$6)</f>
        <v>45.180664014124424</v>
      </c>
      <c r="K20" s="108">
        <f t="shared" si="3"/>
        <v>1.2948831376735425E-2</v>
      </c>
      <c r="L20" s="109">
        <f>K20*INDEX('Value of Emissions'!C$4:C$34,MATCH(F20,'Value of Emissions'!B$4:B$34,1))</f>
        <v>284.87429028817934</v>
      </c>
      <c r="M20" s="110">
        <f t="shared" si="4"/>
        <v>180.2076722786187</v>
      </c>
      <c r="N20" s="107">
        <f>H20*(I20*'Assumed Values'!$C$5)</f>
        <v>46.022416951397247</v>
      </c>
      <c r="O20" s="108">
        <f t="shared" si="1"/>
        <v>1.3190067998016903E-2</v>
      </c>
      <c r="P20" s="109">
        <f>K20*INDEX('Value of Emissions'!D$4:D$34,MATCH(F20,'Value of Emissions'!B$4:B$34,1))</f>
        <v>13842.300741730169</v>
      </c>
      <c r="Q20" s="110">
        <f t="shared" si="5"/>
        <v>8756.4546211747002</v>
      </c>
      <c r="R20"/>
    </row>
    <row r="21" spans="1:18" x14ac:dyDescent="0.3">
      <c r="A21"/>
      <c r="B21" s="123"/>
      <c r="C21"/>
      <c r="D21"/>
      <c r="E21" s="105"/>
      <c r="F21" s="130">
        <f t="shared" si="2"/>
        <v>2039</v>
      </c>
      <c r="G21" s="112">
        <f t="shared" si="7"/>
        <v>3.5558076341622114E-2</v>
      </c>
      <c r="H21" s="131">
        <f>IF(AND(F21&gt;=Year_Open_to_Traffic?,F21&lt;Year_Open_to_Traffic?+'Assumed Values'!C$8),1,0)</f>
        <v>1</v>
      </c>
      <c r="I21" s="107">
        <f t="shared" si="8"/>
        <v>1145.5990937499998</v>
      </c>
      <c r="J21" s="107">
        <f>H21*(I21*'Assumed Values'!$C$6)</f>
        <v>46.787201514303838</v>
      </c>
      <c r="K21" s="108">
        <f t="shared" si="3"/>
        <v>1.3409266911364175E-2</v>
      </c>
      <c r="L21" s="109">
        <f>K21*INDEX('Value of Emissions'!C$4:C$34,MATCH(F21,'Value of Emissions'!B$4:B$34,1))</f>
        <v>295.00387205001186</v>
      </c>
      <c r="M21" s="110">
        <f t="shared" si="4"/>
        <v>181.00437482720451</v>
      </c>
      <c r="N21" s="107">
        <f>H21*(I21*'Assumed Values'!$C$5)</f>
        <v>47.658885566780995</v>
      </c>
      <c r="O21" s="108">
        <f t="shared" si="1"/>
        <v>1.3659081442841576E-2</v>
      </c>
      <c r="P21" s="109">
        <f>K21*INDEX('Value of Emissions'!D$4:D$34,MATCH(F21,'Value of Emissions'!B$4:B$34,1))</f>
        <v>14334.506328248302</v>
      </c>
      <c r="Q21" s="110">
        <f t="shared" si="5"/>
        <v>8795.1671222855275</v>
      </c>
      <c r="R21"/>
    </row>
    <row r="22" spans="1:18" x14ac:dyDescent="0.3">
      <c r="A22"/>
      <c r="B22" s="123"/>
      <c r="C22"/>
      <c r="D22"/>
      <c r="E22" s="105"/>
      <c r="F22" s="10">
        <f t="shared" si="2"/>
        <v>2040</v>
      </c>
      <c r="G22" s="112">
        <f t="shared" si="7"/>
        <v>3.5558076341622114E-2</v>
      </c>
      <c r="H22" s="131">
        <f>IF(AND(F22&gt;=Year_Open_to_Traffic?,F22&lt;Year_Open_to_Traffic?+'Assumed Values'!C$8),1,0)</f>
        <v>1</v>
      </c>
      <c r="I22" s="107">
        <f t="shared" si="8"/>
        <v>1186.3343937824554</v>
      </c>
      <c r="J22" s="107">
        <f>H22*(I22*'Assumed Values'!$C$6)</f>
        <v>48.450864397560316</v>
      </c>
      <c r="K22" s="108">
        <f t="shared" si="3"/>
        <v>1.3886074647883651E-2</v>
      </c>
      <c r="L22" s="109">
        <f>K22*INDEX('Value of Emissions'!C$4:C$34,MATCH(F22,'Value of Emissions'!B$4:B$34,1))</f>
        <v>305.49364225344033</v>
      </c>
      <c r="M22" s="110">
        <f t="shared" si="4"/>
        <v>181.8045996173403</v>
      </c>
      <c r="N22" s="107">
        <f>H22*(I22*'Assumed Values'!$C$5)</f>
        <v>49.35354385812122</v>
      </c>
      <c r="O22" s="108">
        <f t="shared" si="1"/>
        <v>1.4144772103542569E-2</v>
      </c>
      <c r="P22" s="109">
        <f>K22*INDEX('Value of Emissions'!D$4:D$34,MATCH(F22,'Value of Emissions'!B$4:B$34,1))</f>
        <v>14844.213798587623</v>
      </c>
      <c r="Q22" s="110">
        <f t="shared" si="5"/>
        <v>8834.0507723153096</v>
      </c>
      <c r="R22"/>
    </row>
    <row r="23" spans="1:18" x14ac:dyDescent="0.3">
      <c r="A23"/>
      <c r="B23" s="123"/>
      <c r="C23"/>
      <c r="D23"/>
      <c r="E23" s="105"/>
      <c r="F23" s="130">
        <f t="shared" si="2"/>
        <v>2041</v>
      </c>
      <c r="G23" s="112">
        <f t="shared" si="7"/>
        <v>3.5558076341622114E-2</v>
      </c>
      <c r="H23" s="131">
        <f>IF(AND(F23&gt;=Year_Open_to_Traffic?,F23&lt;Year_Open_to_Traffic?+'Assumed Values'!C$8),1,0)</f>
        <v>1</v>
      </c>
      <c r="I23" s="107">
        <f t="shared" si="8"/>
        <v>1228.5181627232639</v>
      </c>
      <c r="J23" s="107">
        <f>H23*(I23*'Assumed Values'!$C$6)</f>
        <v>50.173683932626339</v>
      </c>
      <c r="K23" s="108">
        <f t="shared" si="3"/>
        <v>1.4379836750298559E-2</v>
      </c>
      <c r="L23" s="109">
        <f>K23*INDEX('Value of Emissions'!C$4:C$34,MATCH(F23,'Value of Emissions'!B$4:B$34,1))</f>
        <v>316.3564085065683</v>
      </c>
      <c r="M23" s="110">
        <f t="shared" si="4"/>
        <v>182.60836222094252</v>
      </c>
      <c r="N23" s="107">
        <f>H23*(I23*'Assumed Values'!$C$5)</f>
        <v>51.108460938357894</v>
      </c>
      <c r="O23" s="108">
        <f t="shared" si="1"/>
        <v>1.4647732989835183E-2</v>
      </c>
      <c r="P23" s="109">
        <f>K23*INDEX('Value of Emissions'!D$4:D$34,MATCH(F23,'Value of Emissions'!B$4:B$34,1))</f>
        <v>15372.045486069161</v>
      </c>
      <c r="Q23" s="110">
        <f t="shared" si="5"/>
        <v>8873.106327917616</v>
      </c>
      <c r="R23"/>
    </row>
    <row r="24" spans="1:18" x14ac:dyDescent="0.3">
      <c r="A24"/>
      <c r="B24" s="123"/>
      <c r="C24"/>
      <c r="D24"/>
      <c r="E24" s="105"/>
      <c r="F24" s="10">
        <f t="shared" si="2"/>
        <v>2042</v>
      </c>
      <c r="G24" s="112">
        <f t="shared" si="7"/>
        <v>3.5558076341622114E-2</v>
      </c>
      <c r="H24" s="131">
        <f>IF(AND(F24&gt;=Year_Open_to_Traffic?,F24&lt;Year_Open_to_Traffic?+'Assumed Values'!C$8),1,0)</f>
        <v>1</v>
      </c>
      <c r="I24" s="107">
        <f t="shared" si="8"/>
        <v>1272.201905340447</v>
      </c>
      <c r="J24" s="107">
        <f>H24*(I24*'Assumed Values'!$C$6)</f>
        <v>51.957763616243085</v>
      </c>
      <c r="K24" s="108">
        <f t="shared" si="3"/>
        <v>1.4891156083245738E-2</v>
      </c>
      <c r="L24" s="109">
        <f>K24*INDEX('Value of Emissions'!C$4:C$34,MATCH(F24,'Value of Emissions'!B$4:B$34,1))</f>
        <v>327.60543383140623</v>
      </c>
      <c r="M24" s="110">
        <f t="shared" si="4"/>
        <v>183.41567827877148</v>
      </c>
      <c r="N24" s="107">
        <f>H24*(I24*'Assumed Values'!$C$5)</f>
        <v>52.925779494106827</v>
      </c>
      <c r="O24" s="108">
        <f t="shared" si="1"/>
        <v>1.5168578197719437E-2</v>
      </c>
      <c r="P24" s="109">
        <f>K24*INDEX('Value of Emissions'!D$4:D$34,MATCH(F24,'Value of Emissions'!B$4:B$34,1))</f>
        <v>15918.645852989694</v>
      </c>
      <c r="Q24" s="110">
        <f t="shared" si="5"/>
        <v>8912.3345490912143</v>
      </c>
      <c r="R24"/>
    </row>
    <row r="25" spans="1:18" x14ac:dyDescent="0.3">
      <c r="A25"/>
      <c r="B25" s="123"/>
      <c r="C25"/>
      <c r="D25"/>
      <c r="E25" s="105"/>
      <c r="F25" s="130">
        <f t="shared" si="2"/>
        <v>2043</v>
      </c>
      <c r="G25" s="112">
        <f t="shared" si="7"/>
        <v>3.5558076341622114E-2</v>
      </c>
      <c r="H25" s="131">
        <f>IF(AND(F25&gt;=Year_Open_to_Traffic?,F25&lt;Year_Open_to_Traffic?+'Assumed Values'!C$8),1,0)</f>
        <v>1</v>
      </c>
      <c r="I25" s="107">
        <f t="shared" si="8"/>
        <v>1317.4389578124997</v>
      </c>
      <c r="J25" s="107">
        <f>H25*(I25*'Assumed Values'!$C$6)</f>
        <v>53.805281741449413</v>
      </c>
      <c r="K25" s="108">
        <f t="shared" si="3"/>
        <v>1.54206569480688E-2</v>
      </c>
      <c r="L25" s="109">
        <f>K25*INDEX('Value of Emissions'!C$4:C$34,MATCH(F25,'Value of Emissions'!B$4:B$34,1))</f>
        <v>339.25445285751363</v>
      </c>
      <c r="M25" s="110">
        <f t="shared" si="4"/>
        <v>184.22656350073564</v>
      </c>
      <c r="N25" s="107">
        <f>H25*(I25*'Assumed Values'!$C$5)</f>
        <v>54.807718401798134</v>
      </c>
      <c r="O25" s="108">
        <f t="shared" si="1"/>
        <v>1.5707943659267809E-2</v>
      </c>
      <c r="P25" s="109">
        <f>K25*INDEX('Value of Emissions'!D$4:D$34,MATCH(F25,'Value of Emissions'!B$4:B$34,1))</f>
        <v>16484.682277485546</v>
      </c>
      <c r="Q25" s="110">
        <f t="shared" si="5"/>
        <v>8951.7361991948346</v>
      </c>
      <c r="R25"/>
    </row>
    <row r="26" spans="1:18" x14ac:dyDescent="0.3">
      <c r="A26"/>
      <c r="B26" s="123"/>
      <c r="C26"/>
      <c r="D26"/>
      <c r="E26" s="105"/>
      <c r="F26" s="10">
        <f t="shared" si="2"/>
        <v>2044</v>
      </c>
      <c r="G26" s="112">
        <f t="shared" si="7"/>
        <v>3.5558076341622114E-2</v>
      </c>
      <c r="H26" s="131">
        <f>IF(AND(F26&gt;=Year_Open_to_Traffic?,F26&lt;Year_Open_to_Traffic?+'Assumed Values'!C$8),1,0)</f>
        <v>1</v>
      </c>
      <c r="I26" s="107">
        <f t="shared" si="8"/>
        <v>1364.2845528498235</v>
      </c>
      <c r="J26" s="107">
        <f>H26*(I26*'Assumed Values'!$C$6)</f>
        <v>55.718494057194349</v>
      </c>
      <c r="K26" s="108">
        <f t="shared" si="3"/>
        <v>1.5968985845066196E-2</v>
      </c>
      <c r="L26" s="109">
        <f>K26*INDEX('Value of Emissions'!C$4:C$34,MATCH(F26,'Value of Emissions'!B$4:B$34,1))</f>
        <v>351.31768859145632</v>
      </c>
      <c r="M26" s="110">
        <f t="shared" si="4"/>
        <v>185.04103366619736</v>
      </c>
      <c r="N26" s="107">
        <f>H26*(I26*'Assumed Values'!$C$5)</f>
        <v>56.756575436839398</v>
      </c>
      <c r="O26" s="108">
        <f t="shared" si="1"/>
        <v>1.6266487919073952E-2</v>
      </c>
      <c r="P26" s="109">
        <f>K26*INDEX('Value of Emissions'!D$4:D$34,MATCH(F26,'Value of Emissions'!B$4:B$34,1))</f>
        <v>17070.845868375764</v>
      </c>
      <c r="Q26" s="110">
        <f t="shared" si="5"/>
        <v>8991.3120449620437</v>
      </c>
      <c r="R26"/>
    </row>
    <row r="27" spans="1:18" x14ac:dyDescent="0.3">
      <c r="A27"/>
      <c r="B27" s="123"/>
      <c r="C27"/>
      <c r="D27"/>
      <c r="E27" s="105"/>
      <c r="F27" s="130">
        <f t="shared" si="2"/>
        <v>2045</v>
      </c>
      <c r="G27" s="112">
        <f t="shared" si="7"/>
        <v>3.5558076341622114E-2</v>
      </c>
      <c r="H27" s="131">
        <f>IF(AND(F27&gt;=Year_Open_to_Traffic?,F27&lt;Year_Open_to_Traffic?+'Assumed Values'!C$8),1,0)</f>
        <v>0</v>
      </c>
      <c r="I27" s="107">
        <f t="shared" si="8"/>
        <v>1412.7958871317533</v>
      </c>
      <c r="J27" s="107">
        <f>H27*(I27*'Assumed Values'!$C$6)</f>
        <v>0</v>
      </c>
      <c r="K27" s="108">
        <f t="shared" si="3"/>
        <v>0</v>
      </c>
      <c r="L27" s="109">
        <f>K27*INDEX('Value of Emissions'!C$4:C$34,MATCH(F27,'Value of Emissions'!B$4:B$34,1))</f>
        <v>0</v>
      </c>
      <c r="M27" s="110">
        <f t="shared" si="4"/>
        <v>0</v>
      </c>
      <c r="N27" s="107">
        <f>H27*(I27*'Assumed Values'!$C$5)</f>
        <v>0</v>
      </c>
      <c r="O27" s="108">
        <f t="shared" si="1"/>
        <v>0</v>
      </c>
      <c r="P27" s="109">
        <f>K27*INDEX('Value of Emissions'!D$4:D$34,MATCH(F27,'Value of Emissions'!B$4:B$34,1))</f>
        <v>0</v>
      </c>
      <c r="Q27" s="110">
        <f t="shared" si="5"/>
        <v>0</v>
      </c>
      <c r="R27"/>
    </row>
    <row r="28" spans="1:18" x14ac:dyDescent="0.3">
      <c r="A28"/>
      <c r="B28" s="123"/>
      <c r="C28"/>
      <c r="D28"/>
      <c r="E28" s="105"/>
      <c r="F28" s="130">
        <f t="shared" si="2"/>
        <v>2046</v>
      </c>
      <c r="G28" s="112">
        <f t="shared" si="7"/>
        <v>3.5558076341622114E-2</v>
      </c>
      <c r="H28" s="131">
        <f>IF(AND(F28&gt;=Year_Open_to_Traffic?,F28&lt;Year_Open_to_Traffic?+'Assumed Values'!C$8),1,0)</f>
        <v>0</v>
      </c>
      <c r="I28" s="107">
        <f t="shared" si="8"/>
        <v>1463.032191141514</v>
      </c>
      <c r="J28" s="107">
        <f>H28*(I28*'Assumed Values'!$C$6)</f>
        <v>0</v>
      </c>
      <c r="K28" s="108">
        <f t="shared" si="3"/>
        <v>0</v>
      </c>
      <c r="L28" s="109">
        <f>K28*INDEX('Value of Emissions'!C$4:C$34,MATCH(F28,'Value of Emissions'!B$4:B$34,1))</f>
        <v>0</v>
      </c>
      <c r="M28" s="110">
        <f t="shared" si="4"/>
        <v>0</v>
      </c>
      <c r="N28" s="107">
        <f>H28*(I28*'Assumed Values'!$C$5)</f>
        <v>0</v>
      </c>
      <c r="O28" s="108">
        <f t="shared" si="1"/>
        <v>0</v>
      </c>
      <c r="P28" s="109">
        <f>K28*INDEX('Value of Emissions'!D$4:D$34,MATCH(F28,'Value of Emissions'!B$4:B$34,1))</f>
        <v>0</v>
      </c>
      <c r="Q28" s="110">
        <f t="shared" si="5"/>
        <v>0</v>
      </c>
      <c r="R28"/>
    </row>
    <row r="29" spans="1:18" x14ac:dyDescent="0.3">
      <c r="A29"/>
      <c r="B29" s="123"/>
      <c r="C29"/>
      <c r="D29"/>
      <c r="E29" s="105"/>
      <c r="F29" s="130">
        <f t="shared" si="2"/>
        <v>2047</v>
      </c>
      <c r="G29" s="112">
        <f t="shared" si="7"/>
        <v>3.5558076341622114E-2</v>
      </c>
      <c r="H29" s="131">
        <f>IF(AND(F29&gt;=Year_Open_to_Traffic?,F29&lt;Year_Open_to_Traffic?+'Assumed Values'!C$8),1,0)</f>
        <v>0</v>
      </c>
      <c r="I29" s="107">
        <f t="shared" si="8"/>
        <v>1515.0548014843746</v>
      </c>
      <c r="J29" s="107">
        <f>H29*(I29*'Assumed Values'!$C$6)</f>
        <v>0</v>
      </c>
      <c r="K29" s="108">
        <f t="shared" si="3"/>
        <v>0</v>
      </c>
      <c r="L29" s="109">
        <f>K29*INDEX('Value of Emissions'!C$4:C$34,MATCH(F29,'Value of Emissions'!B$4:B$34,1))</f>
        <v>0</v>
      </c>
      <c r="M29" s="110">
        <f t="shared" si="4"/>
        <v>0</v>
      </c>
      <c r="N29" s="107">
        <f>H29*(I29*'Assumed Values'!$C$5)</f>
        <v>0</v>
      </c>
      <c r="O29" s="108">
        <f t="shared" si="1"/>
        <v>0</v>
      </c>
      <c r="P29" s="109">
        <f>K29*INDEX('Value of Emissions'!D$4:D$34,MATCH(F29,'Value of Emissions'!B$4:B$34,1))</f>
        <v>0</v>
      </c>
      <c r="Q29" s="110">
        <f t="shared" si="5"/>
        <v>0</v>
      </c>
      <c r="R29"/>
    </row>
    <row r="30" spans="1:18" x14ac:dyDescent="0.3">
      <c r="A30"/>
      <c r="B30" s="123"/>
      <c r="C30"/>
      <c r="D30"/>
      <c r="E30" s="105"/>
      <c r="F30" s="130">
        <f t="shared" si="2"/>
        <v>2048</v>
      </c>
      <c r="G30" s="112">
        <f t="shared" si="7"/>
        <v>3.5558076341622114E-2</v>
      </c>
      <c r="H30" s="131">
        <f>IF(AND(F30&gt;=Year_Open_to_Traffic?,F30&lt;Year_Open_to_Traffic?+'Assumed Values'!C$8),1,0)</f>
        <v>0</v>
      </c>
      <c r="I30" s="107">
        <f t="shared" si="8"/>
        <v>1568.927235777297</v>
      </c>
      <c r="J30" s="107">
        <f>H30*(I30*'Assumed Values'!$C$6)</f>
        <v>0</v>
      </c>
      <c r="K30" s="108">
        <f t="shared" si="3"/>
        <v>0</v>
      </c>
      <c r="L30" s="109">
        <f>K30*INDEX('Value of Emissions'!C$4:C$34,MATCH(F30,'Value of Emissions'!B$4:B$34,1))</f>
        <v>0</v>
      </c>
      <c r="M30" s="110">
        <f t="shared" si="4"/>
        <v>0</v>
      </c>
      <c r="N30" s="107">
        <f>H30*(I30*'Assumed Values'!$C$5)</f>
        <v>0</v>
      </c>
      <c r="O30" s="108">
        <f t="shared" si="1"/>
        <v>0</v>
      </c>
      <c r="P30" s="109">
        <f>K30*INDEX('Value of Emissions'!D$4:D$34,MATCH(F30,'Value of Emissions'!B$4:B$34,1))</f>
        <v>0</v>
      </c>
      <c r="Q30" s="110">
        <f t="shared" si="5"/>
        <v>0</v>
      </c>
      <c r="R30"/>
    </row>
    <row r="31" spans="1:18" x14ac:dyDescent="0.3">
      <c r="A31"/>
      <c r="B31" s="123"/>
      <c r="C31"/>
      <c r="D31"/>
      <c r="E31" s="105"/>
      <c r="F31" s="130">
        <f t="shared" si="2"/>
        <v>2049</v>
      </c>
      <c r="G31" s="112">
        <f t="shared" si="7"/>
        <v>3.5558076341622114E-2</v>
      </c>
      <c r="H31" s="131">
        <f>IF(AND(F31&gt;=Year_Open_to_Traffic?,F31&lt;Year_Open_to_Traffic?+'Assumed Values'!C$8),1,0)</f>
        <v>0</v>
      </c>
      <c r="I31" s="107">
        <f t="shared" si="8"/>
        <v>1624.7152702015162</v>
      </c>
      <c r="J31" s="107">
        <f>H31*(I31*'Assumed Values'!$C$6)</f>
        <v>0</v>
      </c>
      <c r="K31" s="108">
        <f t="shared" si="3"/>
        <v>0</v>
      </c>
      <c r="L31" s="109">
        <f>K31*INDEX('Value of Emissions'!C$4:C$34,MATCH(F31,'Value of Emissions'!B$4:B$34,1))</f>
        <v>0</v>
      </c>
      <c r="M31" s="110">
        <f t="shared" si="4"/>
        <v>0</v>
      </c>
      <c r="N31" s="107">
        <f>H31*(I31*'Assumed Values'!$C$5)</f>
        <v>0</v>
      </c>
      <c r="O31" s="108">
        <f t="shared" si="1"/>
        <v>0</v>
      </c>
      <c r="P31" s="109">
        <f>K31*INDEX('Value of Emissions'!D$4:D$34,MATCH(F31,'Value of Emissions'!B$4:B$34,1))</f>
        <v>0</v>
      </c>
      <c r="Q31" s="110">
        <f t="shared" si="5"/>
        <v>0</v>
      </c>
      <c r="R31"/>
    </row>
    <row r="32" spans="1:18" x14ac:dyDescent="0.3">
      <c r="A32"/>
      <c r="B32" s="123"/>
      <c r="C32"/>
      <c r="D32"/>
      <c r="E32" s="105"/>
      <c r="F32" s="130">
        <f t="shared" si="2"/>
        <v>2050</v>
      </c>
      <c r="G32" s="112">
        <f t="shared" si="7"/>
        <v>3.5558076341622114E-2</v>
      </c>
      <c r="H32" s="131">
        <f>IF(AND(F32&gt;=Year_Open_to_Traffic?,F32&lt;Year_Open_to_Traffic?+'Assumed Values'!C$8),1,0)</f>
        <v>0</v>
      </c>
      <c r="I32" s="107">
        <f t="shared" si="8"/>
        <v>1682.487019812741</v>
      </c>
      <c r="J32" s="107">
        <f>H32*(I32*'Assumed Values'!$C$6)</f>
        <v>0</v>
      </c>
      <c r="K32" s="108">
        <f t="shared" si="3"/>
        <v>0</v>
      </c>
      <c r="L32" s="109">
        <f>K32*INDEX('Value of Emissions'!C$4:C$34,MATCH(F32,'Value of Emissions'!B$4:B$34,1))</f>
        <v>0</v>
      </c>
      <c r="M32" s="110">
        <f t="shared" si="4"/>
        <v>0</v>
      </c>
      <c r="N32" s="107">
        <f>H32*(I32*'Assumed Values'!$C$5)</f>
        <v>0</v>
      </c>
      <c r="O32" s="108">
        <f t="shared" si="1"/>
        <v>0</v>
      </c>
      <c r="P32" s="109">
        <f>K32*INDEX('Value of Emissions'!D$4:D$34,MATCH(F32,'Value of Emissions'!B$4:B$34,1))</f>
        <v>0</v>
      </c>
      <c r="Q32" s="110">
        <f t="shared" si="5"/>
        <v>0</v>
      </c>
      <c r="R32"/>
    </row>
    <row r="33" spans="1:18" x14ac:dyDescent="0.3">
      <c r="A33"/>
      <c r="B33" s="123"/>
      <c r="C33"/>
      <c r="D33"/>
      <c r="E33" s="105"/>
      <c r="F33" s="130">
        <f t="shared" si="2"/>
        <v>2051</v>
      </c>
      <c r="G33" s="112">
        <f t="shared" si="7"/>
        <v>3.5558076341622114E-2</v>
      </c>
      <c r="H33" s="131">
        <f>IF(AND(F33&gt;=Year_Open_to_Traffic?,F33&lt;Year_Open_to_Traffic?+'Assumed Values'!C$8),1,0)</f>
        <v>0</v>
      </c>
      <c r="I33" s="107">
        <f t="shared" si="8"/>
        <v>1742.3130217070307</v>
      </c>
      <c r="J33" s="107">
        <f>H33*(I33*'Assumed Values'!$C$6)</f>
        <v>0</v>
      </c>
      <c r="K33" s="108">
        <f t="shared" si="3"/>
        <v>0</v>
      </c>
      <c r="L33" s="109">
        <f>K33*INDEX('Value of Emissions'!C$4:C$34,MATCH(F33,'Value of Emissions'!B$4:B$34,1))</f>
        <v>0</v>
      </c>
      <c r="M33" s="110">
        <f t="shared" si="4"/>
        <v>0</v>
      </c>
      <c r="N33" s="107">
        <f>H33*(I33*'Assumed Values'!$C$5)</f>
        <v>0</v>
      </c>
      <c r="O33" s="108">
        <f t="shared" si="1"/>
        <v>0</v>
      </c>
      <c r="P33" s="109">
        <f>K33*INDEX('Value of Emissions'!D$4:D$34,MATCH(F33,'Value of Emissions'!B$4:B$34,1))</f>
        <v>0</v>
      </c>
      <c r="Q33" s="110">
        <f t="shared" si="5"/>
        <v>0</v>
      </c>
      <c r="R33"/>
    </row>
    <row r="34" spans="1:18" x14ac:dyDescent="0.3">
      <c r="A34"/>
      <c r="B34" s="123"/>
      <c r="C34"/>
      <c r="D34"/>
      <c r="E34" s="105"/>
      <c r="F34" s="130">
        <f t="shared" si="2"/>
        <v>2052</v>
      </c>
      <c r="G34" s="112">
        <f t="shared" si="7"/>
        <v>3.5558076341622114E-2</v>
      </c>
      <c r="H34" s="131">
        <f>IF(AND(F34&gt;=Year_Open_to_Traffic?,F34&lt;Year_Open_to_Traffic?+'Assumed Values'!C$8),1,0)</f>
        <v>0</v>
      </c>
      <c r="I34" s="107">
        <f t="shared" si="8"/>
        <v>1804.2663211438917</v>
      </c>
      <c r="J34" s="107">
        <f>H34*(I34*'Assumed Values'!$C$6)</f>
        <v>0</v>
      </c>
      <c r="K34" s="108">
        <f t="shared" si="3"/>
        <v>0</v>
      </c>
      <c r="L34" s="109">
        <f>K34*INDEX('Value of Emissions'!C$4:C$34,MATCH(F34,'Value of Emissions'!B$4:B$34,1))</f>
        <v>0</v>
      </c>
      <c r="M34" s="110">
        <f t="shared" si="4"/>
        <v>0</v>
      </c>
      <c r="N34" s="107">
        <f>H34*(I34*'Assumed Values'!$C$5)</f>
        <v>0</v>
      </c>
      <c r="O34" s="108">
        <f t="shared" si="1"/>
        <v>0</v>
      </c>
      <c r="P34" s="109">
        <f>K34*INDEX('Value of Emissions'!D$4:D$34,MATCH(F34,'Value of Emissions'!B$4:B$34,1))</f>
        <v>0</v>
      </c>
      <c r="Q34" s="110">
        <f t="shared" si="5"/>
        <v>0</v>
      </c>
      <c r="R34"/>
    </row>
    <row r="35" spans="1:18" x14ac:dyDescent="0.3">
      <c r="A35"/>
      <c r="B35" s="123"/>
      <c r="C35"/>
      <c r="D35"/>
      <c r="E35" s="105"/>
      <c r="F35" s="11" t="s">
        <v>88</v>
      </c>
      <c r="G35" s="11"/>
      <c r="H35" s="107"/>
      <c r="I35" s="36"/>
      <c r="J35" s="107"/>
      <c r="K35" s="108">
        <f>SUM(K5:K34)</f>
        <v>0.23384543780927283</v>
      </c>
      <c r="L35" s="109">
        <f>SUM(L5:L34)</f>
        <v>5100.6584899638747</v>
      </c>
      <c r="M35" s="110">
        <f>SUM(M5:M34)</f>
        <v>3510.4058074525806</v>
      </c>
      <c r="N35" s="107"/>
      <c r="O35" s="108">
        <f>SUM(O5:O34)</f>
        <v>0.23820197637850232</v>
      </c>
      <c r="P35" s="108">
        <f>SUM(P5:P34)</f>
        <v>247531.75961606085</v>
      </c>
      <c r="Q35" s="110">
        <f>SUM(Q5:Q34)</f>
        <v>170292.7363292996</v>
      </c>
      <c r="R35"/>
    </row>
    <row r="36" spans="1:18" x14ac:dyDescent="0.3">
      <c r="A36"/>
      <c r="B36" s="123"/>
      <c r="C36"/>
      <c r="D36"/>
      <c r="E36" s="105"/>
      <c r="F36" s="35"/>
      <c r="G36" s="35"/>
      <c r="H36"/>
      <c r="I36"/>
      <c r="J36"/>
      <c r="K36"/>
      <c r="L36"/>
      <c r="M36"/>
      <c r="N36"/>
      <c r="O36"/>
      <c r="P36"/>
      <c r="Q36"/>
      <c r="R36"/>
    </row>
    <row r="37" spans="1:18" x14ac:dyDescent="0.3">
      <c r="A37"/>
      <c r="B37" s="123"/>
      <c r="C37"/>
      <c r="D37"/>
      <c r="E37" s="105"/>
      <c r="F37" s="35"/>
      <c r="G37" s="35"/>
      <c r="H37"/>
      <c r="I37"/>
      <c r="J37"/>
      <c r="K37"/>
      <c r="L37"/>
      <c r="M37"/>
      <c r="N37"/>
      <c r="O37"/>
      <c r="P37"/>
      <c r="Q37"/>
      <c r="R37"/>
    </row>
  </sheetData>
  <sheetProtection algorithmName="SHA-512" hashValue="Ou9jdz27cYw7wCaUULUfjri9WtdrvK9VRr7Ah2BdZ+FlVygUBuhrVHhILAw2QYDz6AeIXxi49SytU1XIiUWEsA==" saltValue="G0K9E3xB8P3C0WPlth2E/w==" spinCount="100000" sheet="1" objects="1" scenarios="1"/>
  <pageMargins left="0.25" right="0.25" top="0.75" bottom="0.75" header="0.3" footer="0.3"/>
  <pageSetup paperSize="3" scale="2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G31"/>
  <sheetViews>
    <sheetView zoomScale="85" zoomScaleNormal="85" workbookViewId="0">
      <selection activeCell="D13" sqref="D13"/>
    </sheetView>
  </sheetViews>
  <sheetFormatPr defaultColWidth="9.109375" defaultRowHeight="14.4" x14ac:dyDescent="0.3"/>
  <cols>
    <col min="1" max="1" width="3.44140625" style="60" customWidth="1"/>
    <col min="2" max="2" width="46.6640625" style="60" customWidth="1"/>
    <col min="3" max="4" width="20.33203125" style="60" customWidth="1"/>
    <col min="5" max="6" width="9.109375" style="60"/>
    <col min="7" max="7" width="16.6640625" style="60" customWidth="1"/>
    <col min="8" max="8" width="16" style="60" bestFit="1" customWidth="1"/>
    <col min="9" max="16384" width="9.109375" style="60"/>
  </cols>
  <sheetData>
    <row r="2" spans="2:4" x14ac:dyDescent="0.3">
      <c r="B2" s="61" t="s">
        <v>89</v>
      </c>
    </row>
    <row r="4" spans="2:4" x14ac:dyDescent="0.3">
      <c r="B4" s="61" t="s">
        <v>90</v>
      </c>
    </row>
    <row r="5" spans="2:4" x14ac:dyDescent="0.3">
      <c r="B5" s="62" t="s">
        <v>91</v>
      </c>
      <c r="C5" s="63">
        <f>INDEX('Emission Factors - VOC'!C4:J19,MATCH(C9,'Emission Factors - VOC'!B4:B19,1),MATCH('Inputs &amp; Outputs'!C8,'Emission Factors - VOC'!C3:J3,0))</f>
        <v>4.1601713746800002E-2</v>
      </c>
      <c r="D5" s="151" t="s">
        <v>92</v>
      </c>
    </row>
    <row r="6" spans="2:4" x14ac:dyDescent="0.3">
      <c r="B6" s="62" t="s">
        <v>93</v>
      </c>
      <c r="C6" s="63">
        <f>INDEX('Emission Factors - NOx'!C4:J19,MATCH(C9,'Emission Factors - NOx'!B4:B19,1),MATCH('Inputs &amp; Outputs'!C8,'Emission Factors - NOx'!C3:J3,0))</f>
        <v>4.0840815752700002E-2</v>
      </c>
      <c r="D6" s="151"/>
    </row>
    <row r="7" spans="2:4" x14ac:dyDescent="0.3">
      <c r="B7" s="62" t="s">
        <v>94</v>
      </c>
      <c r="C7" s="64" t="str">
        <f>'Inputs &amp; Outputs'!C13</f>
        <v>Install New Sidewalks</v>
      </c>
    </row>
    <row r="8" spans="2:4" x14ac:dyDescent="0.3">
      <c r="B8" s="62" t="s">
        <v>95</v>
      </c>
      <c r="C8" s="62">
        <f>INDEX('Service Life'!D4:D10,MATCH(C7,'Service Life'!C4:C10,0))</f>
        <v>20</v>
      </c>
      <c r="D8" s="60" t="s">
        <v>96</v>
      </c>
    </row>
    <row r="9" spans="2:4" x14ac:dyDescent="0.3">
      <c r="B9" s="62" t="s">
        <v>97</v>
      </c>
      <c r="C9" s="62">
        <v>25</v>
      </c>
      <c r="D9" s="60" t="s">
        <v>98</v>
      </c>
    </row>
    <row r="10" spans="2:4" x14ac:dyDescent="0.3">
      <c r="C10" s="65"/>
    </row>
    <row r="11" spans="2:4" x14ac:dyDescent="0.3">
      <c r="B11" s="66" t="s">
        <v>19</v>
      </c>
    </row>
    <row r="12" spans="2:4" x14ac:dyDescent="0.3">
      <c r="B12" s="67" t="s">
        <v>99</v>
      </c>
      <c r="C12" s="67">
        <v>1.48</v>
      </c>
    </row>
    <row r="13" spans="2:4" x14ac:dyDescent="0.3">
      <c r="B13" s="67" t="s">
        <v>100</v>
      </c>
      <c r="C13" s="67">
        <v>365</v>
      </c>
    </row>
    <row r="16" spans="2:4" ht="15" thickBot="1" x14ac:dyDescent="0.35">
      <c r="B16" s="61" t="s">
        <v>101</v>
      </c>
    </row>
    <row r="17" spans="2:7" x14ac:dyDescent="0.3">
      <c r="B17" s="46" t="s">
        <v>102</v>
      </c>
      <c r="C17" s="47" t="s">
        <v>103</v>
      </c>
      <c r="D17" s="68" t="s">
        <v>104</v>
      </c>
      <c r="E17" s="47" t="s">
        <v>105</v>
      </c>
      <c r="F17" s="47" t="s">
        <v>106</v>
      </c>
      <c r="G17" s="48" t="s">
        <v>107</v>
      </c>
    </row>
    <row r="18" spans="2:7" x14ac:dyDescent="0.3">
      <c r="B18" s="49">
        <v>1</v>
      </c>
      <c r="C18" s="45">
        <v>0.57399999999999995</v>
      </c>
      <c r="D18" s="69">
        <f>E18+F18</f>
        <v>0.42500000000000004</v>
      </c>
      <c r="E18" s="45">
        <v>0.39600000000000002</v>
      </c>
      <c r="F18" s="45">
        <v>2.9000000000000001E-2</v>
      </c>
      <c r="G18" s="50" t="s">
        <v>108</v>
      </c>
    </row>
    <row r="19" spans="2:7" ht="15" thickBot="1" x14ac:dyDescent="0.35">
      <c r="B19" s="53">
        <v>5</v>
      </c>
      <c r="C19" s="51">
        <v>0.81299999999999994</v>
      </c>
      <c r="D19" s="70">
        <f>E19+F19</f>
        <v>0.187</v>
      </c>
      <c r="E19" s="51">
        <v>0.02</v>
      </c>
      <c r="F19" s="51">
        <v>0.16700000000000001</v>
      </c>
      <c r="G19" s="52" t="s">
        <v>109</v>
      </c>
    </row>
    <row r="20" spans="2:7" x14ac:dyDescent="0.3">
      <c r="B20" s="44" t="s">
        <v>110</v>
      </c>
      <c r="C20" s="71"/>
      <c r="D20" s="71"/>
      <c r="E20" s="71"/>
      <c r="F20" s="71"/>
      <c r="G20" s="71"/>
    </row>
    <row r="22" spans="2:7" ht="15" thickBot="1" x14ac:dyDescent="0.35">
      <c r="B22" s="61" t="s">
        <v>111</v>
      </c>
    </row>
    <row r="23" spans="2:7" x14ac:dyDescent="0.3">
      <c r="B23" s="72"/>
    </row>
    <row r="24" spans="2:7" x14ac:dyDescent="0.3">
      <c r="B24" s="73" t="s">
        <v>112</v>
      </c>
    </row>
    <row r="25" spans="2:7" x14ac:dyDescent="0.3">
      <c r="B25" s="73" t="s">
        <v>113</v>
      </c>
    </row>
    <row r="26" spans="2:7" x14ac:dyDescent="0.3">
      <c r="B26" s="73" t="s">
        <v>114</v>
      </c>
    </row>
    <row r="27" spans="2:7" x14ac:dyDescent="0.3">
      <c r="B27" s="73" t="s">
        <v>115</v>
      </c>
    </row>
    <row r="28" spans="2:7" x14ac:dyDescent="0.3">
      <c r="B28" s="73" t="s">
        <v>53</v>
      </c>
    </row>
    <row r="29" spans="2:7" x14ac:dyDescent="0.3">
      <c r="B29" s="73" t="s">
        <v>116</v>
      </c>
    </row>
    <row r="30" spans="2:7" x14ac:dyDescent="0.3">
      <c r="B30" s="73" t="s">
        <v>117</v>
      </c>
    </row>
    <row r="31" spans="2:7" ht="15" thickBot="1" x14ac:dyDescent="0.35">
      <c r="B31" s="74" t="s">
        <v>118</v>
      </c>
    </row>
  </sheetData>
  <sheetProtection algorithmName="SHA-512" hashValue="eKqSimtBZ/SfFuNaKvQ2jGNvZgjmr4qwV+UXxwGebFQVDqD2euDePyrbqc1zF6xNk0kiIJ5pSo8rsEf7+WDSdg==" saltValue="p1j8e24l5/NfVPdLykD6bA==" spinCount="100000" sheet="1" objects="1" scenarios="1"/>
  <mergeCells count="1">
    <mergeCell ref="D5:D6"/>
  </mergeCells>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B1:F36"/>
  <sheetViews>
    <sheetView workbookViewId="0">
      <selection activeCell="Q10" sqref="Q10"/>
    </sheetView>
  </sheetViews>
  <sheetFormatPr defaultRowHeight="14.4" x14ac:dyDescent="0.3"/>
  <cols>
    <col min="1" max="1" width="2.88671875" customWidth="1"/>
    <col min="2" max="6" width="15.6640625" customWidth="1"/>
  </cols>
  <sheetData>
    <row r="1" spans="2:6" x14ac:dyDescent="0.3">
      <c r="B1" s="2" t="s">
        <v>145</v>
      </c>
    </row>
    <row r="2" spans="2:6" ht="15" thickBot="1" x14ac:dyDescent="0.35">
      <c r="B2" s="2"/>
    </row>
    <row r="3" spans="2:6" x14ac:dyDescent="0.3">
      <c r="B3" s="54" t="s">
        <v>3</v>
      </c>
      <c r="C3" s="55" t="s">
        <v>119</v>
      </c>
      <c r="D3" s="55" t="s">
        <v>120</v>
      </c>
      <c r="E3" s="55" t="s">
        <v>121</v>
      </c>
      <c r="F3" s="56" t="s">
        <v>122</v>
      </c>
    </row>
    <row r="4" spans="2:6" x14ac:dyDescent="0.3">
      <c r="B4" s="57">
        <v>2023</v>
      </c>
      <c r="C4" s="58">
        <v>19800</v>
      </c>
      <c r="D4" s="58">
        <v>951000</v>
      </c>
      <c r="E4" s="58">
        <v>52900</v>
      </c>
      <c r="F4" s="59">
        <v>228</v>
      </c>
    </row>
    <row r="5" spans="2:6" x14ac:dyDescent="0.3">
      <c r="B5" s="57">
        <v>2024</v>
      </c>
      <c r="C5" s="58">
        <v>20100</v>
      </c>
      <c r="D5" s="58">
        <v>963200</v>
      </c>
      <c r="E5" s="58">
        <v>53800</v>
      </c>
      <c r="F5" s="59">
        <v>233</v>
      </c>
    </row>
    <row r="6" spans="2:6" x14ac:dyDescent="0.3">
      <c r="B6" s="57">
        <v>2025</v>
      </c>
      <c r="C6" s="58">
        <v>20300</v>
      </c>
      <c r="D6" s="58">
        <v>975500</v>
      </c>
      <c r="E6" s="58">
        <v>54800</v>
      </c>
      <c r="F6" s="59">
        <v>237</v>
      </c>
    </row>
    <row r="7" spans="2:6" x14ac:dyDescent="0.3">
      <c r="B7" s="57">
        <v>2026</v>
      </c>
      <c r="C7" s="58">
        <v>20600</v>
      </c>
      <c r="D7" s="58">
        <v>993500</v>
      </c>
      <c r="E7" s="58">
        <v>56100</v>
      </c>
      <c r="F7" s="59">
        <v>241</v>
      </c>
    </row>
    <row r="8" spans="2:6" x14ac:dyDescent="0.3">
      <c r="B8" s="57">
        <v>2027</v>
      </c>
      <c r="C8" s="58">
        <v>21000</v>
      </c>
      <c r="D8" s="58">
        <v>1011900</v>
      </c>
      <c r="E8" s="58">
        <v>57400</v>
      </c>
      <c r="F8" s="59">
        <v>245</v>
      </c>
    </row>
    <row r="9" spans="2:6" x14ac:dyDescent="0.3">
      <c r="B9" s="57">
        <v>2028</v>
      </c>
      <c r="C9" s="58">
        <v>21300</v>
      </c>
      <c r="D9" s="58">
        <v>1030600</v>
      </c>
      <c r="E9" s="58">
        <v>58700</v>
      </c>
      <c r="F9" s="59">
        <v>250</v>
      </c>
    </row>
    <row r="10" spans="2:6" x14ac:dyDescent="0.3">
      <c r="B10" s="57">
        <v>2029</v>
      </c>
      <c r="C10" s="58">
        <v>21700</v>
      </c>
      <c r="D10" s="58">
        <v>1049600</v>
      </c>
      <c r="E10" s="58">
        <v>60100</v>
      </c>
      <c r="F10" s="59">
        <v>253</v>
      </c>
    </row>
    <row r="11" spans="2:6" x14ac:dyDescent="0.3">
      <c r="B11" s="57">
        <v>2030</v>
      </c>
      <c r="C11" s="58">
        <v>22000</v>
      </c>
      <c r="D11" s="58">
        <v>1069000</v>
      </c>
      <c r="E11" s="58">
        <v>61500</v>
      </c>
      <c r="F11" s="59">
        <v>257</v>
      </c>
    </row>
    <row r="12" spans="2:6" x14ac:dyDescent="0.3">
      <c r="B12" s="57">
        <v>2031</v>
      </c>
      <c r="C12" s="58">
        <v>22000</v>
      </c>
      <c r="D12" s="58">
        <v>1069000</v>
      </c>
      <c r="E12" s="58">
        <v>61500</v>
      </c>
      <c r="F12" s="59">
        <v>262</v>
      </c>
    </row>
    <row r="13" spans="2:6" x14ac:dyDescent="0.3">
      <c r="B13" s="57">
        <v>2032</v>
      </c>
      <c r="C13" s="58">
        <v>22000</v>
      </c>
      <c r="D13" s="58">
        <v>1069000</v>
      </c>
      <c r="E13" s="58">
        <v>61500</v>
      </c>
      <c r="F13" s="59">
        <v>265</v>
      </c>
    </row>
    <row r="14" spans="2:6" x14ac:dyDescent="0.3">
      <c r="B14" s="57">
        <v>2033</v>
      </c>
      <c r="C14" s="58">
        <v>22000</v>
      </c>
      <c r="D14" s="58">
        <v>1069000</v>
      </c>
      <c r="E14" s="58">
        <v>61500</v>
      </c>
      <c r="F14" s="59">
        <v>270</v>
      </c>
    </row>
    <row r="15" spans="2:6" x14ac:dyDescent="0.3">
      <c r="B15" s="57">
        <v>2034</v>
      </c>
      <c r="C15" s="58">
        <v>22000</v>
      </c>
      <c r="D15" s="58">
        <v>1069000</v>
      </c>
      <c r="E15" s="58">
        <v>61500</v>
      </c>
      <c r="F15" s="59">
        <v>274</v>
      </c>
    </row>
    <row r="16" spans="2:6" x14ac:dyDescent="0.3">
      <c r="B16" s="57">
        <v>2035</v>
      </c>
      <c r="C16" s="58">
        <v>22000</v>
      </c>
      <c r="D16" s="58">
        <v>1069000</v>
      </c>
      <c r="E16" s="58">
        <v>61500</v>
      </c>
      <c r="F16" s="59">
        <v>278</v>
      </c>
    </row>
    <row r="17" spans="2:6" x14ac:dyDescent="0.3">
      <c r="B17" s="57">
        <v>2036</v>
      </c>
      <c r="C17" s="58">
        <v>22000</v>
      </c>
      <c r="D17" s="58">
        <v>1069000</v>
      </c>
      <c r="E17" s="58">
        <v>61500</v>
      </c>
      <c r="F17" s="59">
        <v>282</v>
      </c>
    </row>
    <row r="18" spans="2:6" x14ac:dyDescent="0.3">
      <c r="B18" s="57">
        <v>2037</v>
      </c>
      <c r="C18" s="58">
        <v>22000</v>
      </c>
      <c r="D18" s="58">
        <v>1069000</v>
      </c>
      <c r="E18" s="58">
        <v>61500</v>
      </c>
      <c r="F18" s="59">
        <v>287</v>
      </c>
    </row>
    <row r="19" spans="2:6" x14ac:dyDescent="0.3">
      <c r="B19" s="57">
        <v>2038</v>
      </c>
      <c r="C19" s="58">
        <v>22000</v>
      </c>
      <c r="D19" s="58">
        <v>1069000</v>
      </c>
      <c r="E19" s="58">
        <v>61500</v>
      </c>
      <c r="F19" s="59">
        <v>290</v>
      </c>
    </row>
    <row r="20" spans="2:6" x14ac:dyDescent="0.3">
      <c r="B20" s="57">
        <v>2039</v>
      </c>
      <c r="C20" s="58">
        <v>22000</v>
      </c>
      <c r="D20" s="58">
        <v>1069000</v>
      </c>
      <c r="E20" s="58">
        <v>61500</v>
      </c>
      <c r="F20" s="59">
        <v>294</v>
      </c>
    </row>
    <row r="21" spans="2:6" x14ac:dyDescent="0.3">
      <c r="B21" s="57">
        <v>2040</v>
      </c>
      <c r="C21" s="58">
        <v>22000</v>
      </c>
      <c r="D21" s="58">
        <v>1069000</v>
      </c>
      <c r="E21" s="58">
        <v>61500</v>
      </c>
      <c r="F21" s="59">
        <v>299</v>
      </c>
    </row>
    <row r="22" spans="2:6" x14ac:dyDescent="0.3">
      <c r="B22" s="57">
        <v>2041</v>
      </c>
      <c r="C22" s="58">
        <v>22000</v>
      </c>
      <c r="D22" s="58">
        <v>1069000</v>
      </c>
      <c r="E22" s="58">
        <v>61500</v>
      </c>
      <c r="F22" s="59">
        <v>303</v>
      </c>
    </row>
    <row r="23" spans="2:6" x14ac:dyDescent="0.3">
      <c r="B23" s="57">
        <v>2042</v>
      </c>
      <c r="C23" s="58">
        <v>22000</v>
      </c>
      <c r="D23" s="58">
        <v>1069000</v>
      </c>
      <c r="E23" s="58">
        <v>61500</v>
      </c>
      <c r="F23" s="59">
        <v>308</v>
      </c>
    </row>
    <row r="24" spans="2:6" x14ac:dyDescent="0.3">
      <c r="B24" s="57">
        <v>2043</v>
      </c>
      <c r="C24" s="58">
        <v>22000</v>
      </c>
      <c r="D24" s="58">
        <v>1069000</v>
      </c>
      <c r="E24" s="58">
        <v>61500</v>
      </c>
      <c r="F24" s="59">
        <v>312</v>
      </c>
    </row>
    <row r="25" spans="2:6" x14ac:dyDescent="0.3">
      <c r="B25" s="57">
        <v>2044</v>
      </c>
      <c r="C25" s="58">
        <v>22000</v>
      </c>
      <c r="D25" s="58">
        <v>1069000</v>
      </c>
      <c r="E25" s="58">
        <v>61500</v>
      </c>
      <c r="F25" s="59">
        <v>317</v>
      </c>
    </row>
    <row r="26" spans="2:6" x14ac:dyDescent="0.3">
      <c r="B26" s="57">
        <v>2045</v>
      </c>
      <c r="C26" s="58">
        <v>22000</v>
      </c>
      <c r="D26" s="58">
        <v>1069000</v>
      </c>
      <c r="E26" s="58">
        <v>61500</v>
      </c>
      <c r="F26" s="59">
        <v>321</v>
      </c>
    </row>
    <row r="27" spans="2:6" x14ac:dyDescent="0.3">
      <c r="B27" s="57">
        <v>2046</v>
      </c>
      <c r="C27" s="58">
        <v>22000</v>
      </c>
      <c r="D27" s="58">
        <v>1069000</v>
      </c>
      <c r="E27" s="58">
        <v>61500</v>
      </c>
      <c r="F27" s="59">
        <v>326</v>
      </c>
    </row>
    <row r="28" spans="2:6" x14ac:dyDescent="0.3">
      <c r="B28" s="57">
        <v>2047</v>
      </c>
      <c r="C28" s="58">
        <v>22000</v>
      </c>
      <c r="D28" s="58">
        <v>1069000</v>
      </c>
      <c r="E28" s="58">
        <v>61500</v>
      </c>
      <c r="F28" s="59">
        <v>331</v>
      </c>
    </row>
    <row r="29" spans="2:6" x14ac:dyDescent="0.3">
      <c r="B29" s="57">
        <v>2048</v>
      </c>
      <c r="C29" s="58">
        <v>22000</v>
      </c>
      <c r="D29" s="58">
        <v>1069000</v>
      </c>
      <c r="E29" s="58">
        <v>61500</v>
      </c>
      <c r="F29" s="59">
        <v>336</v>
      </c>
    </row>
    <row r="30" spans="2:6" x14ac:dyDescent="0.3">
      <c r="B30" s="57">
        <v>2049</v>
      </c>
      <c r="C30" s="58">
        <v>22000</v>
      </c>
      <c r="D30" s="58">
        <v>1069000</v>
      </c>
      <c r="E30" s="58">
        <v>61500</v>
      </c>
      <c r="F30" s="59">
        <v>340</v>
      </c>
    </row>
    <row r="31" spans="2:6" x14ac:dyDescent="0.3">
      <c r="B31" s="57">
        <v>2050</v>
      </c>
      <c r="C31" s="58">
        <v>22000</v>
      </c>
      <c r="D31" s="58">
        <v>1069000</v>
      </c>
      <c r="E31" s="58">
        <v>61500</v>
      </c>
      <c r="F31" s="59">
        <v>345</v>
      </c>
    </row>
    <row r="32" spans="2:6" x14ac:dyDescent="0.3">
      <c r="B32" s="57">
        <v>2051</v>
      </c>
      <c r="C32" s="58">
        <v>22000</v>
      </c>
      <c r="D32" s="58">
        <v>1069000</v>
      </c>
      <c r="E32" s="58">
        <v>61500</v>
      </c>
      <c r="F32" s="59">
        <v>349</v>
      </c>
    </row>
    <row r="33" spans="2:6" x14ac:dyDescent="0.3">
      <c r="B33" s="57">
        <v>2052</v>
      </c>
      <c r="C33" s="58">
        <v>22000</v>
      </c>
      <c r="D33" s="58">
        <v>1069000</v>
      </c>
      <c r="E33" s="58">
        <v>61500</v>
      </c>
      <c r="F33" s="59">
        <v>353</v>
      </c>
    </row>
    <row r="34" spans="2:6" x14ac:dyDescent="0.3">
      <c r="B34" s="144">
        <v>2053</v>
      </c>
      <c r="C34" s="145">
        <v>22000</v>
      </c>
      <c r="D34" s="145">
        <v>1069000</v>
      </c>
      <c r="E34" s="145">
        <v>61500</v>
      </c>
      <c r="F34" s="146">
        <v>357</v>
      </c>
    </row>
    <row r="36" spans="2:6" x14ac:dyDescent="0.3">
      <c r="B36" s="37" t="s">
        <v>146</v>
      </c>
    </row>
  </sheetData>
  <hyperlinks>
    <hyperlink ref="B36" r:id="rId1" xr:uid="{88B2A232-4E90-4344-A983-130DF01214AC}"/>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2:L19"/>
  <sheetViews>
    <sheetView zoomScaleNormal="100" workbookViewId="0">
      <selection activeCell="K25" sqref="K25"/>
    </sheetView>
  </sheetViews>
  <sheetFormatPr defaultRowHeight="14.4" x14ac:dyDescent="0.3"/>
  <cols>
    <col min="1" max="1" width="13.44140625" bestFit="1" customWidth="1"/>
    <col min="3" max="8" width="12" style="35" bestFit="1" customWidth="1"/>
    <col min="9" max="9" width="12.109375" style="35" bestFit="1" customWidth="1"/>
    <col min="10" max="10" width="12" style="35" bestFit="1" customWidth="1"/>
    <col min="11" max="11" width="12.109375" bestFit="1" customWidth="1"/>
    <col min="12" max="12" width="30" customWidth="1"/>
  </cols>
  <sheetData>
    <row r="2" spans="1:12" x14ac:dyDescent="0.3">
      <c r="A2" s="152" t="s">
        <v>123</v>
      </c>
      <c r="B2" s="152"/>
      <c r="C2" s="152"/>
      <c r="D2" s="152"/>
      <c r="E2" s="152"/>
      <c r="F2" s="152"/>
      <c r="G2" s="152"/>
      <c r="H2" s="152"/>
      <c r="I2" s="152"/>
      <c r="J2" s="152"/>
    </row>
    <row r="3" spans="1:12" x14ac:dyDescent="0.3">
      <c r="A3" s="94" t="s">
        <v>124</v>
      </c>
      <c r="B3" s="94" t="s">
        <v>125</v>
      </c>
      <c r="C3" s="94" t="s">
        <v>112</v>
      </c>
      <c r="D3" s="94" t="s">
        <v>113</v>
      </c>
      <c r="E3" s="94" t="s">
        <v>114</v>
      </c>
      <c r="F3" s="94" t="s">
        <v>115</v>
      </c>
      <c r="G3" s="94" t="s">
        <v>53</v>
      </c>
      <c r="H3" s="94" t="s">
        <v>116</v>
      </c>
      <c r="I3" s="94" t="s">
        <v>117</v>
      </c>
      <c r="J3" s="94" t="s">
        <v>118</v>
      </c>
    </row>
    <row r="4" spans="1:12" x14ac:dyDescent="0.3">
      <c r="A4" s="95" t="s">
        <v>126</v>
      </c>
      <c r="B4" s="95">
        <v>0</v>
      </c>
      <c r="C4" s="36">
        <v>7.9709209501700004E-2</v>
      </c>
      <c r="D4" s="36">
        <v>7.8904114663600006E-2</v>
      </c>
      <c r="E4" s="36">
        <v>6.92955628037E-2</v>
      </c>
      <c r="F4" s="36">
        <v>8.5180975496799996E-2</v>
      </c>
      <c r="G4" s="36">
        <v>8.0917797982700004E-2</v>
      </c>
      <c r="H4" s="36">
        <v>0.1015956774354</v>
      </c>
      <c r="I4" s="36">
        <v>7.6598614454299996E-2</v>
      </c>
      <c r="J4" s="36">
        <v>0.1183910742402</v>
      </c>
      <c r="L4" t="s">
        <v>127</v>
      </c>
    </row>
    <row r="5" spans="1:12" x14ac:dyDescent="0.3">
      <c r="A5" s="95" t="s">
        <v>126</v>
      </c>
      <c r="B5" s="95">
        <v>2.5</v>
      </c>
      <c r="C5" s="36">
        <v>4.2469523847100003E-2</v>
      </c>
      <c r="D5" s="36">
        <v>4.4206574559199997E-2</v>
      </c>
      <c r="E5" s="36">
        <v>3.7201248109299999E-2</v>
      </c>
      <c r="F5" s="36">
        <v>4.5288600027599997E-2</v>
      </c>
      <c r="G5" s="36">
        <v>4.4272050261500002E-2</v>
      </c>
      <c r="H5" s="36">
        <v>5.66987879574E-2</v>
      </c>
      <c r="I5" s="36">
        <v>4.1071366518699998E-2</v>
      </c>
      <c r="J5" s="36">
        <v>6.2287978828000003E-2</v>
      </c>
    </row>
    <row r="6" spans="1:12" x14ac:dyDescent="0.3">
      <c r="A6" s="95" t="s">
        <v>126</v>
      </c>
      <c r="B6" s="95">
        <v>7.5</v>
      </c>
      <c r="C6" s="36">
        <v>4.3386276811399997E-2</v>
      </c>
      <c r="D6" s="36">
        <v>4.4668316841100002E-2</v>
      </c>
      <c r="E6" s="36">
        <v>3.7818614393499997E-2</v>
      </c>
      <c r="F6" s="36">
        <v>4.6490438282499998E-2</v>
      </c>
      <c r="G6" s="36">
        <v>4.4996704906200002E-2</v>
      </c>
      <c r="H6" s="36">
        <v>5.7243946939700002E-2</v>
      </c>
      <c r="I6" s="36">
        <v>4.2194124311200003E-2</v>
      </c>
      <c r="J6" s="36">
        <v>6.3799820840400007E-2</v>
      </c>
    </row>
    <row r="7" spans="1:12" x14ac:dyDescent="0.3">
      <c r="A7" s="95" t="s">
        <v>126</v>
      </c>
      <c r="B7" s="95">
        <v>12.5</v>
      </c>
      <c r="C7" s="36">
        <v>4.1231390088800002E-2</v>
      </c>
      <c r="D7" s="36">
        <v>4.26243059337E-2</v>
      </c>
      <c r="E7" s="36">
        <v>3.5951599478699997E-2</v>
      </c>
      <c r="F7" s="36">
        <v>4.4190917164100001E-2</v>
      </c>
      <c r="G7" s="36">
        <v>4.2852584272599997E-2</v>
      </c>
      <c r="H7" s="36">
        <v>5.4562348872400003E-2</v>
      </c>
      <c r="I7" s="36">
        <v>4.0065769106099998E-2</v>
      </c>
      <c r="J7" s="36">
        <v>6.05730563402E-2</v>
      </c>
    </row>
    <row r="8" spans="1:12" x14ac:dyDescent="0.3">
      <c r="A8" s="95" t="s">
        <v>126</v>
      </c>
      <c r="B8" s="95">
        <v>17.5</v>
      </c>
      <c r="C8" s="36">
        <v>5.7910330593599998E-2</v>
      </c>
      <c r="D8" s="36">
        <v>5.8362636715199999E-2</v>
      </c>
      <c r="E8" s="36">
        <v>5.03999106586E-2</v>
      </c>
      <c r="F8" s="36">
        <v>6.1958283186000003E-2</v>
      </c>
      <c r="G8" s="36">
        <v>5.9329502284499999E-2</v>
      </c>
      <c r="H8" s="36">
        <v>7.4966326355900004E-2</v>
      </c>
      <c r="I8" s="36">
        <v>5.5853683501500002E-2</v>
      </c>
      <c r="J8" s="36">
        <v>8.5614524781699994E-2</v>
      </c>
    </row>
    <row r="9" spans="1:12" x14ac:dyDescent="0.3">
      <c r="A9" s="95" t="s">
        <v>126</v>
      </c>
      <c r="B9" s="95">
        <v>22.5</v>
      </c>
      <c r="C9" s="36">
        <v>3.9257124066400001E-2</v>
      </c>
      <c r="D9" s="36">
        <v>4.0652059018600001E-2</v>
      </c>
      <c r="E9" s="36">
        <v>3.4244447946500001E-2</v>
      </c>
      <c r="F9" s="36">
        <v>4.2083520442199998E-2</v>
      </c>
      <c r="G9" s="36">
        <v>4.0840815752700002E-2</v>
      </c>
      <c r="H9" s="36">
        <v>5.2029088139500003E-2</v>
      </c>
      <c r="I9" s="36">
        <v>3.81413288414E-2</v>
      </c>
      <c r="J9" s="36">
        <v>5.7648696005300003E-2</v>
      </c>
    </row>
    <row r="10" spans="1:12" x14ac:dyDescent="0.3">
      <c r="A10" s="95" t="s">
        <v>126</v>
      </c>
      <c r="B10" s="95">
        <v>27.5</v>
      </c>
      <c r="C10" s="36">
        <v>3.5227932035900002E-2</v>
      </c>
      <c r="D10" s="36">
        <v>3.6515135317999999E-2</v>
      </c>
      <c r="E10" s="36">
        <v>3.07166818529E-2</v>
      </c>
      <c r="F10" s="36">
        <v>3.7752732634499998E-2</v>
      </c>
      <c r="G10" s="36">
        <v>3.66222187877E-2</v>
      </c>
      <c r="H10" s="36">
        <v>4.6724498271899999E-2</v>
      </c>
      <c r="I10" s="36">
        <v>3.4187663346500002E-2</v>
      </c>
      <c r="J10" s="36">
        <v>5.1712572574599998E-2</v>
      </c>
    </row>
    <row r="11" spans="1:12" x14ac:dyDescent="0.3">
      <c r="A11" s="95" t="s">
        <v>126</v>
      </c>
      <c r="B11" s="95">
        <v>32.5</v>
      </c>
      <c r="C11" s="36">
        <v>3.36339212954E-2</v>
      </c>
      <c r="D11" s="36">
        <v>3.4911878406999997E-2</v>
      </c>
      <c r="E11" s="36">
        <v>2.93653514236E-2</v>
      </c>
      <c r="F11" s="36">
        <v>3.60104031861E-2</v>
      </c>
      <c r="G11" s="36">
        <v>3.4991860389700001E-2</v>
      </c>
      <c r="H11" s="36">
        <v>4.4688086956699999E-2</v>
      </c>
      <c r="I11" s="36">
        <v>3.2622620463399997E-2</v>
      </c>
      <c r="J11" s="36">
        <v>4.9370080232599999E-2</v>
      </c>
    </row>
    <row r="12" spans="1:12" x14ac:dyDescent="0.3">
      <c r="A12" s="95" t="s">
        <v>126</v>
      </c>
      <c r="B12" s="95">
        <v>37.5</v>
      </c>
      <c r="C12" s="36">
        <v>3.27882580459E-2</v>
      </c>
      <c r="D12" s="36">
        <v>3.4374210983499999E-2</v>
      </c>
      <c r="E12" s="36">
        <v>2.8639543801500002E-2</v>
      </c>
      <c r="F12" s="36">
        <v>3.5045284777899997E-2</v>
      </c>
      <c r="G12" s="36">
        <v>3.41720841825E-2</v>
      </c>
      <c r="H12" s="36">
        <v>4.39856164157E-2</v>
      </c>
      <c r="I12" s="36">
        <v>3.1794819980900002E-2</v>
      </c>
      <c r="J12" s="36">
        <v>4.8103537410499997E-2</v>
      </c>
    </row>
    <row r="13" spans="1:12" x14ac:dyDescent="0.3">
      <c r="A13" s="95" t="s">
        <v>126</v>
      </c>
      <c r="B13" s="95">
        <v>42.5</v>
      </c>
      <c r="C13" s="36">
        <v>3.2569069415300002E-2</v>
      </c>
      <c r="D13" s="36">
        <v>3.3696841448499999E-2</v>
      </c>
      <c r="E13" s="36">
        <v>2.8494181111500001E-2</v>
      </c>
      <c r="F13" s="36">
        <v>3.4877907484799998E-2</v>
      </c>
      <c r="G13" s="36">
        <v>3.3852331340300003E-2</v>
      </c>
      <c r="H13" s="36">
        <v>4.3236359953900003E-2</v>
      </c>
      <c r="I13" s="36">
        <v>3.15391048789E-2</v>
      </c>
      <c r="J13" s="36">
        <v>4.7752235084799997E-2</v>
      </c>
    </row>
    <row r="14" spans="1:12" x14ac:dyDescent="0.3">
      <c r="A14" s="95" t="s">
        <v>126</v>
      </c>
      <c r="B14" s="95">
        <v>47.5</v>
      </c>
      <c r="C14" s="36">
        <v>3.3075693994800003E-2</v>
      </c>
      <c r="D14" s="36">
        <v>3.44197936356E-2</v>
      </c>
      <c r="E14" s="36">
        <v>2.8920862823699999E-2</v>
      </c>
      <c r="F14" s="36">
        <v>3.5316374152900003E-2</v>
      </c>
      <c r="G14" s="36">
        <v>3.4387338906500003E-2</v>
      </c>
      <c r="H14" s="36">
        <v>4.4108875095799999E-2</v>
      </c>
      <c r="I14" s="36">
        <v>3.1966596841799998E-2</v>
      </c>
      <c r="J14" s="36">
        <v>4.8545762896499998E-2</v>
      </c>
    </row>
    <row r="15" spans="1:12" x14ac:dyDescent="0.3">
      <c r="A15" s="95" t="s">
        <v>126</v>
      </c>
      <c r="B15" s="95">
        <v>52.5</v>
      </c>
      <c r="C15" s="36">
        <v>3.3750448375900001E-2</v>
      </c>
      <c r="D15" s="36">
        <v>3.5110909491799999E-2</v>
      </c>
      <c r="E15" s="36">
        <v>2.9547912999999999E-2</v>
      </c>
      <c r="F15" s="36">
        <v>3.6022249609200002E-2</v>
      </c>
      <c r="G15" s="36">
        <v>3.5480238497299997E-2</v>
      </c>
      <c r="H15" s="36">
        <v>4.5018933713400003E-2</v>
      </c>
      <c r="I15" s="36">
        <v>3.26566807926E-2</v>
      </c>
      <c r="J15" s="36">
        <v>4.9504462629600003E-2</v>
      </c>
    </row>
    <row r="16" spans="1:12" x14ac:dyDescent="0.3">
      <c r="A16" s="95" t="s">
        <v>126</v>
      </c>
      <c r="B16" s="95">
        <v>57.5</v>
      </c>
      <c r="C16" s="36">
        <v>3.4581881016499998E-2</v>
      </c>
      <c r="D16" s="36">
        <v>3.5991001874199999E-2</v>
      </c>
      <c r="E16" s="36">
        <v>3.0277365818600001E-2</v>
      </c>
      <c r="F16" s="36">
        <v>3.6884400993599999E-2</v>
      </c>
      <c r="G16" s="36">
        <v>3.5643253475399997E-2</v>
      </c>
      <c r="H16" s="36">
        <v>4.6157341450500003E-2</v>
      </c>
      <c r="I16" s="36">
        <v>3.3448658883599998E-2</v>
      </c>
      <c r="J16" s="36">
        <v>5.0720669329199997E-2</v>
      </c>
    </row>
    <row r="17" spans="1:10" x14ac:dyDescent="0.3">
      <c r="A17" s="95" t="s">
        <v>126</v>
      </c>
      <c r="B17" s="95">
        <v>62.5</v>
      </c>
      <c r="C17" s="36">
        <v>3.5903498530400001E-2</v>
      </c>
      <c r="D17" s="36">
        <v>3.73747684062E-2</v>
      </c>
      <c r="E17" s="36">
        <v>3.1440760940300003E-2</v>
      </c>
      <c r="F17" s="36">
        <v>3.8293443620199999E-2</v>
      </c>
      <c r="G17" s="36">
        <v>3.7387639284100001E-2</v>
      </c>
      <c r="H17" s="36">
        <v>4.7937151044600002E-2</v>
      </c>
      <c r="I17" s="36">
        <v>3.47202531993E-2</v>
      </c>
      <c r="J17" s="36">
        <v>5.2657235413799998E-2</v>
      </c>
    </row>
    <row r="18" spans="1:10" x14ac:dyDescent="0.3">
      <c r="A18" s="95" t="s">
        <v>126</v>
      </c>
      <c r="B18" s="95">
        <v>67.5</v>
      </c>
      <c r="C18" s="36">
        <v>3.8603831082600001E-2</v>
      </c>
      <c r="D18" s="36">
        <v>4.0181506425100003E-2</v>
      </c>
      <c r="E18" s="36">
        <v>3.38131785393E-2</v>
      </c>
      <c r="F18" s="36">
        <v>4.1169561445699998E-2</v>
      </c>
      <c r="G18" s="36">
        <v>4.0241330861999998E-2</v>
      </c>
      <c r="H18" s="36">
        <v>5.1533348858399997E-2</v>
      </c>
      <c r="I18" s="36">
        <v>3.72925810516E-2</v>
      </c>
      <c r="J18" s="36">
        <v>5.66187351942E-2</v>
      </c>
    </row>
    <row r="19" spans="1:10" x14ac:dyDescent="0.3">
      <c r="A19" s="95" t="s">
        <v>126</v>
      </c>
      <c r="B19" s="95">
        <v>72.5</v>
      </c>
      <c r="C19" s="36">
        <v>4.7010879963599997E-2</v>
      </c>
      <c r="D19" s="36">
        <v>4.80918735266E-2</v>
      </c>
      <c r="E19" s="36">
        <v>4.09520417452E-2</v>
      </c>
      <c r="F19" s="36">
        <v>5.0346929579999998E-2</v>
      </c>
      <c r="G19" s="36">
        <v>4.8628326505399999E-2</v>
      </c>
      <c r="H19" s="36">
        <v>6.1651676893200003E-2</v>
      </c>
      <c r="I19" s="36">
        <v>4.5481212437199998E-2</v>
      </c>
      <c r="J19" s="36">
        <v>6.9226212799500003E-2</v>
      </c>
    </row>
  </sheetData>
  <sheetProtection algorithmName="SHA-512" hashValue="GgVuEZHcaXhK27xCKUaHrmSJ4nqdk01MeVkNzhF9k0vMe8OKYZQuGpVn3k54u1GNGxfD9AfBKTUk+zgxfI4SWg==" saltValue="1heuhzK1dfOnlkB0MF4zgg==" spinCount="100000" sheet="1" objects="1" scenarios="1"/>
  <mergeCells count="1">
    <mergeCell ref="A2:J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tint="4.9989318521683403E-2"/>
  </sheetPr>
  <dimension ref="A2:L21"/>
  <sheetViews>
    <sheetView workbookViewId="0">
      <selection activeCell="R9" sqref="R9"/>
    </sheetView>
  </sheetViews>
  <sheetFormatPr defaultRowHeight="14.4" x14ac:dyDescent="0.3"/>
  <cols>
    <col min="1" max="1" width="14.44140625" bestFit="1" customWidth="1"/>
    <col min="3" max="9" width="12.109375" style="35" bestFit="1" customWidth="1"/>
    <col min="10" max="10" width="10.5546875" style="35" bestFit="1" customWidth="1"/>
  </cols>
  <sheetData>
    <row r="2" spans="1:12" s="1" customFormat="1" x14ac:dyDescent="0.3">
      <c r="A2" s="152" t="s">
        <v>123</v>
      </c>
      <c r="B2" s="152"/>
      <c r="C2" s="152"/>
      <c r="D2" s="152"/>
      <c r="E2" s="152"/>
      <c r="F2" s="152"/>
      <c r="G2" s="152"/>
      <c r="H2" s="152"/>
      <c r="I2" s="152"/>
      <c r="J2" s="152"/>
    </row>
    <row r="3" spans="1:12" x14ac:dyDescent="0.3">
      <c r="A3" s="94" t="s">
        <v>124</v>
      </c>
      <c r="B3" s="94" t="s">
        <v>125</v>
      </c>
      <c r="C3" s="94" t="s">
        <v>112</v>
      </c>
      <c r="D3" s="94" t="s">
        <v>113</v>
      </c>
      <c r="E3" s="94" t="s">
        <v>114</v>
      </c>
      <c r="F3" s="94" t="s">
        <v>115</v>
      </c>
      <c r="G3" s="94" t="s">
        <v>53</v>
      </c>
      <c r="H3" s="94" t="s">
        <v>116</v>
      </c>
      <c r="I3" s="94" t="s">
        <v>117</v>
      </c>
      <c r="J3" s="94" t="s">
        <v>118</v>
      </c>
    </row>
    <row r="4" spans="1:12" x14ac:dyDescent="0.3">
      <c r="A4" s="95" t="s">
        <v>126</v>
      </c>
      <c r="B4" s="95">
        <v>0</v>
      </c>
      <c r="C4">
        <v>0.26444011926650002</v>
      </c>
      <c r="D4">
        <v>0.2628540694714</v>
      </c>
      <c r="E4">
        <v>0.2351109683514</v>
      </c>
      <c r="F4">
        <v>0.27366435527799998</v>
      </c>
      <c r="G4">
        <v>0.27394896745679997</v>
      </c>
      <c r="H4">
        <v>0.34403336048130001</v>
      </c>
      <c r="I4">
        <v>0.24836939573290001</v>
      </c>
      <c r="J4">
        <v>0.36253210902209998</v>
      </c>
      <c r="L4" t="s">
        <v>128</v>
      </c>
    </row>
    <row r="5" spans="1:12" x14ac:dyDescent="0.3">
      <c r="A5" s="95" t="s">
        <v>126</v>
      </c>
      <c r="B5" s="95">
        <v>2.5</v>
      </c>
      <c r="C5">
        <v>1.9378159195200001E-2</v>
      </c>
      <c r="D5">
        <v>2.05497387797E-2</v>
      </c>
      <c r="E5">
        <v>1.7681267112499999E-2</v>
      </c>
      <c r="F5">
        <v>2.0050633698699999E-2</v>
      </c>
      <c r="G5">
        <v>1.97393167764E-2</v>
      </c>
      <c r="H5">
        <v>2.5481630116699999E-2</v>
      </c>
      <c r="I5">
        <v>1.8406093120600001E-2</v>
      </c>
      <c r="J5">
        <v>2.6999369263600002E-2</v>
      </c>
    </row>
    <row r="6" spans="1:12" x14ac:dyDescent="0.3">
      <c r="A6" s="95" t="s">
        <v>126</v>
      </c>
      <c r="B6" s="95">
        <v>7.5</v>
      </c>
      <c r="C6">
        <v>5.8480665087700001E-2</v>
      </c>
      <c r="D6">
        <v>5.9795513749099999E-2</v>
      </c>
      <c r="E6">
        <v>5.2471309900300002E-2</v>
      </c>
      <c r="F6">
        <v>6.0731705278200002E-2</v>
      </c>
      <c r="G6">
        <v>6.0103241354199997E-2</v>
      </c>
      <c r="H6">
        <v>7.6237604022E-2</v>
      </c>
      <c r="I6">
        <v>5.54231144488E-2</v>
      </c>
      <c r="J6">
        <v>8.0834597349199996E-2</v>
      </c>
    </row>
    <row r="7" spans="1:12" x14ac:dyDescent="0.3">
      <c r="A7" s="95" t="s">
        <v>126</v>
      </c>
      <c r="B7" s="95">
        <v>12.5</v>
      </c>
      <c r="C7">
        <v>4.7797035425899997E-2</v>
      </c>
      <c r="D7">
        <v>4.9216337502000003E-2</v>
      </c>
      <c r="E7">
        <v>4.2984921485200001E-2</v>
      </c>
      <c r="F7">
        <v>4.9681510776300002E-2</v>
      </c>
      <c r="G7">
        <v>4.9026809632799997E-2</v>
      </c>
      <c r="H7">
        <v>6.2340460717699997E-2</v>
      </c>
      <c r="I7">
        <v>4.5357584953300001E-2</v>
      </c>
      <c r="J7">
        <v>6.6197916865299994E-2</v>
      </c>
    </row>
    <row r="8" spans="1:12" x14ac:dyDescent="0.3">
      <c r="A8" s="95" t="s">
        <v>126</v>
      </c>
      <c r="B8" s="95">
        <v>17.5</v>
      </c>
      <c r="C8">
        <v>0.14085912704469999</v>
      </c>
      <c r="D8">
        <v>0.14101886749270001</v>
      </c>
      <c r="E8">
        <v>0.12551739811900001</v>
      </c>
      <c r="F8">
        <v>0.1459016501904</v>
      </c>
      <c r="G8">
        <v>0.1456297934055</v>
      </c>
      <c r="H8">
        <v>0.1833496242762</v>
      </c>
      <c r="I8">
        <v>0.13255074620250001</v>
      </c>
      <c r="J8">
        <v>0.19349585473540001</v>
      </c>
    </row>
    <row r="9" spans="1:12" x14ac:dyDescent="0.3">
      <c r="A9" s="95" t="s">
        <v>126</v>
      </c>
      <c r="B9" s="95">
        <v>22.5</v>
      </c>
      <c r="C9">
        <v>4.0611382573800002E-2</v>
      </c>
      <c r="D9">
        <v>4.20035682619E-2</v>
      </c>
      <c r="E9">
        <v>3.6584451794600001E-2</v>
      </c>
      <c r="F9">
        <v>4.2241793125899998E-2</v>
      </c>
      <c r="G9">
        <v>4.1601713746800002E-2</v>
      </c>
      <c r="H9">
        <v>5.2986633032599997E-2</v>
      </c>
      <c r="I9">
        <v>3.8578156381799997E-2</v>
      </c>
      <c r="J9">
        <v>5.63218891621E-2</v>
      </c>
    </row>
    <row r="10" spans="1:12" x14ac:dyDescent="0.3">
      <c r="A10" s="95" t="s">
        <v>126</v>
      </c>
      <c r="B10" s="95">
        <v>27.5</v>
      </c>
      <c r="C10">
        <v>3.4918714314699999E-2</v>
      </c>
      <c r="D10">
        <v>3.6181893199699999E-2</v>
      </c>
      <c r="E10">
        <v>3.1460244208599997E-2</v>
      </c>
      <c r="F10">
        <v>3.63250896335E-2</v>
      </c>
      <c r="G10">
        <v>3.57223190367E-2</v>
      </c>
      <c r="H10">
        <v>4.5546170324100001E-2</v>
      </c>
      <c r="I10">
        <v>3.31708602607E-2</v>
      </c>
      <c r="J10">
        <v>4.8457857221400003E-2</v>
      </c>
    </row>
    <row r="11" spans="1:12" x14ac:dyDescent="0.3">
      <c r="A11" s="95" t="s">
        <v>126</v>
      </c>
      <c r="B11" s="95">
        <v>32.5</v>
      </c>
      <c r="C11">
        <v>3.0200703069600002E-2</v>
      </c>
      <c r="D11">
        <v>3.1322646886100002E-2</v>
      </c>
      <c r="E11">
        <v>2.72386819124E-2</v>
      </c>
      <c r="F11">
        <v>3.14021632075E-2</v>
      </c>
      <c r="G11">
        <v>3.0894996598400001E-2</v>
      </c>
      <c r="H11">
        <v>3.9413675665899997E-2</v>
      </c>
      <c r="I11">
        <v>2.86844652146E-2</v>
      </c>
      <c r="J11">
        <v>4.1921745985699997E-2</v>
      </c>
    </row>
    <row r="12" spans="1:12" x14ac:dyDescent="0.3">
      <c r="A12" s="95" t="s">
        <v>126</v>
      </c>
      <c r="B12" s="95">
        <v>37.5</v>
      </c>
      <c r="C12">
        <v>2.6544878259299999E-2</v>
      </c>
      <c r="D12">
        <v>2.7620913460899999E-2</v>
      </c>
      <c r="E12">
        <v>2.3948570713400001E-2</v>
      </c>
      <c r="F12">
        <v>2.75632496923E-2</v>
      </c>
      <c r="G12">
        <v>2.7160381898300001E-2</v>
      </c>
      <c r="H12">
        <v>3.4794658422499999E-2</v>
      </c>
      <c r="I12">
        <v>2.5199735537200001E-2</v>
      </c>
      <c r="J12">
        <v>3.6833021789799997E-2</v>
      </c>
    </row>
    <row r="13" spans="1:12" x14ac:dyDescent="0.3">
      <c r="A13" s="95" t="s">
        <v>126</v>
      </c>
      <c r="B13" s="95">
        <v>42.5</v>
      </c>
      <c r="C13">
        <v>2.38674543798E-2</v>
      </c>
      <c r="D13">
        <v>2.47377473861E-2</v>
      </c>
      <c r="E13">
        <v>2.1569157019300001E-2</v>
      </c>
      <c r="F13">
        <v>2.48084310442E-2</v>
      </c>
      <c r="G13">
        <v>2.4383226409600001E-2</v>
      </c>
      <c r="H13">
        <v>3.11215482652E-2</v>
      </c>
      <c r="I13">
        <v>2.26356312633E-2</v>
      </c>
      <c r="J13">
        <v>3.31035032868E-2</v>
      </c>
    </row>
    <row r="14" spans="1:12" x14ac:dyDescent="0.3">
      <c r="A14" s="95" t="s">
        <v>126</v>
      </c>
      <c r="B14" s="95">
        <v>47.5</v>
      </c>
      <c r="C14">
        <v>2.1966401487599999E-2</v>
      </c>
      <c r="D14">
        <v>2.2867945954200001E-2</v>
      </c>
      <c r="E14">
        <v>1.9852669909599999E-2</v>
      </c>
      <c r="F14">
        <v>2.2789862006899999E-2</v>
      </c>
      <c r="G14">
        <v>2.2449804469900001E-2</v>
      </c>
      <c r="H14">
        <v>2.87346448749E-2</v>
      </c>
      <c r="I14">
        <v>2.0828295499100001E-2</v>
      </c>
      <c r="J14">
        <v>3.05069871247E-2</v>
      </c>
    </row>
    <row r="15" spans="1:12" x14ac:dyDescent="0.3">
      <c r="A15" s="95" t="s">
        <v>126</v>
      </c>
      <c r="B15" s="95">
        <v>52.5</v>
      </c>
      <c r="C15">
        <v>2.04963181168E-2</v>
      </c>
      <c r="D15">
        <v>2.1379128098500001E-2</v>
      </c>
      <c r="E15">
        <v>1.8558653071500002E-2</v>
      </c>
      <c r="F15">
        <v>2.12536733598E-2</v>
      </c>
      <c r="G15">
        <v>2.1015109494300001E-2</v>
      </c>
      <c r="H15">
        <v>2.6829566806600001E-2</v>
      </c>
      <c r="I15">
        <v>1.9444948062299999E-2</v>
      </c>
      <c r="J15">
        <v>2.8461825102600001E-2</v>
      </c>
    </row>
    <row r="16" spans="1:12" x14ac:dyDescent="0.3">
      <c r="A16" s="95" t="s">
        <v>126</v>
      </c>
      <c r="B16" s="95">
        <v>57.5</v>
      </c>
      <c r="C16">
        <v>1.9343970343500001E-2</v>
      </c>
      <c r="D16">
        <v>2.0223269239099999E-2</v>
      </c>
      <c r="E16">
        <v>1.7531229183099999E-2</v>
      </c>
      <c r="F16">
        <v>2.0045710727599999E-2</v>
      </c>
      <c r="G16">
        <v>1.96963697672E-2</v>
      </c>
      <c r="H16">
        <v>2.5342658162100001E-2</v>
      </c>
      <c r="I16">
        <v>1.83507427573E-2</v>
      </c>
      <c r="J16">
        <v>2.6871265843500001E-2</v>
      </c>
    </row>
    <row r="17" spans="1:10" x14ac:dyDescent="0.3">
      <c r="A17" s="95" t="s">
        <v>126</v>
      </c>
      <c r="B17" s="95">
        <v>62.5</v>
      </c>
      <c r="C17">
        <v>1.8619537353499999E-2</v>
      </c>
      <c r="D17">
        <v>1.9525045529000001E-2</v>
      </c>
      <c r="E17">
        <v>1.6900295391700002E-2</v>
      </c>
      <c r="F17">
        <v>1.9285675138199999E-2</v>
      </c>
      <c r="G17">
        <v>1.9009761512300001E-2</v>
      </c>
      <c r="H17">
        <v>2.44179181755E-2</v>
      </c>
      <c r="I17">
        <v>1.7664575949300002E-2</v>
      </c>
      <c r="J17">
        <v>2.5879047810999999E-2</v>
      </c>
    </row>
    <row r="18" spans="1:10" x14ac:dyDescent="0.3">
      <c r="A18" s="95" t="s">
        <v>126</v>
      </c>
      <c r="B18" s="95">
        <v>67.5</v>
      </c>
      <c r="C18">
        <v>1.8634382635400001E-2</v>
      </c>
      <c r="D18">
        <v>1.9636310636999998E-2</v>
      </c>
      <c r="E18">
        <v>1.6957323998200002E-2</v>
      </c>
      <c r="F18">
        <v>1.92865505815E-2</v>
      </c>
      <c r="G18">
        <v>1.90108940005E-2</v>
      </c>
      <c r="H18">
        <v>2.4470949545500002E-2</v>
      </c>
      <c r="I18">
        <v>1.7677549272799999E-2</v>
      </c>
      <c r="J18">
        <v>2.5925543159199999E-2</v>
      </c>
    </row>
    <row r="19" spans="1:10" x14ac:dyDescent="0.3">
      <c r="A19" s="95" t="s">
        <v>126</v>
      </c>
      <c r="B19" s="95">
        <v>72.5</v>
      </c>
      <c r="C19">
        <v>7.90686160326E-2</v>
      </c>
      <c r="D19">
        <v>8.01013186574E-2</v>
      </c>
      <c r="E19">
        <v>7.0720508694600004E-2</v>
      </c>
      <c r="F19">
        <v>8.2020431756999995E-2</v>
      </c>
      <c r="G19">
        <v>8.1513799727E-2</v>
      </c>
      <c r="H19">
        <v>0.1030077189207</v>
      </c>
      <c r="I19">
        <v>7.4641339480900001E-2</v>
      </c>
      <c r="J19">
        <v>0.1089776977897</v>
      </c>
    </row>
    <row r="21" spans="1:10" s="1" customFormat="1" x14ac:dyDescent="0.3">
      <c r="A21"/>
      <c r="B21"/>
      <c r="C21" s="35"/>
      <c r="D21" s="35"/>
      <c r="E21" s="35"/>
      <c r="F21" s="35"/>
      <c r="G21" s="35"/>
      <c r="H21" s="35"/>
      <c r="I21" s="35"/>
      <c r="J21" s="35"/>
    </row>
  </sheetData>
  <sheetProtection algorithmName="SHA-512" hashValue="Ui1JhBkXHfr07ItkCTWFs1CTt+TeDJi7EVGJz2R8JB9KKWfzPsG0u2gOMdk69Ox+k77iTbDnalcV+ijMFPR5CQ==" saltValue="KAMtowWf4kgMUj/dwja9lQ==" spinCount="100000" sheet="1" objects="1" scenarios="1"/>
  <mergeCells count="1">
    <mergeCell ref="A2:J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2FC740BCA03C479DA71D811169BFA1" ma:contentTypeVersion="5" ma:contentTypeDescription="Create a new document." ma:contentTypeScope="" ma:versionID="55c1fcfba0b50bee698a5af054f21b19">
  <xsd:schema xmlns:xsd="http://www.w3.org/2001/XMLSchema" xmlns:xs="http://www.w3.org/2001/XMLSchema" xmlns:p="http://schemas.microsoft.com/office/2006/metadata/properties" xmlns:ns2="12c48a06-edc6-4ccf-ab50-6f21e6b801cd" xmlns:ns3="6a71ecd6-7a08-4b40-8c69-f5ec8494976e" targetNamespace="http://schemas.microsoft.com/office/2006/metadata/properties" ma:root="true" ma:fieldsID="620b7003fcbb9a2700d630a39e7fc411" ns2:_="" ns3:_="">
    <xsd:import namespace="12c48a06-edc6-4ccf-ab50-6f21e6b801cd"/>
    <xsd:import namespace="6a71ecd6-7a08-4b40-8c69-f5ec8494976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48a06-edc6-4ccf-ab50-6f21e6b80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71ecd6-7a08-4b40-8c69-f5ec8494976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854A7F-EA8C-483D-B458-D2AB45792AD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1107134-FF69-4DAE-9B23-EF76888B1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48a06-edc6-4ccf-ab50-6f21e6b801cd"/>
    <ds:schemaRef ds:uri="6a71ecd6-7a08-4b40-8c69-f5ec849497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284B5F-9863-436F-A348-48DB20B19D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ITS Delay Worksheet</vt:lpstr>
      <vt:lpstr>Emissions Reduction Worksheet</vt:lpstr>
      <vt:lpstr>Instructions</vt:lpstr>
      <vt:lpstr>Inputs &amp; Outputs</vt:lpstr>
      <vt:lpstr>Calculations</vt:lpstr>
      <vt:lpstr>Assumed Values</vt:lpstr>
      <vt:lpstr>Value of Emissions</vt:lpstr>
      <vt:lpstr>Emission Factors - NOx</vt:lpstr>
      <vt:lpstr>Emission Factors - VOC</vt:lpstr>
      <vt:lpstr>Service Life</vt:lpstr>
      <vt:lpstr>Growth Rates</vt:lpstr>
      <vt:lpstr>_2025_Capacity</vt:lpstr>
      <vt:lpstr>Application_ID_Number</vt:lpstr>
      <vt:lpstr>Name</vt:lpstr>
      <vt:lpstr>'Assumed Values'!Print_Area</vt:lpstr>
      <vt:lpstr>'Emissions Reduction Worksheet'!Print_Area</vt:lpstr>
      <vt:lpstr>'Inputs &amp; Outputs'!Print_Area</vt:lpstr>
      <vt:lpstr>Instructions!Print_Area</vt:lpstr>
      <vt:lpstr>'ITS Delay Worksheet'!Print_Area</vt:lpstr>
      <vt:lpstr>Sponsor_ID_Number__CSJ__etc.</vt:lpstr>
      <vt:lpstr>Year_Open_to_Traffic?</vt:lpstr>
    </vt:vector>
  </TitlesOfParts>
  <Manager/>
  <Company>Houston-Galveston Area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wurdlow</dc:creator>
  <cp:keywords/>
  <dc:description/>
  <cp:lastModifiedBy>Lingala, Vishu</cp:lastModifiedBy>
  <cp:revision/>
  <dcterms:created xsi:type="dcterms:W3CDTF">2012-07-25T15:48:32Z</dcterms:created>
  <dcterms:modified xsi:type="dcterms:W3CDTF">2024-07-29T11:34:23Z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0x010100412FC740BCA03C479DA71D811169BFA1</vt:lpwstr>
  </property>
</Properties>
</file>