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decandis\OneDrive - Houston-Galveston Area Council\Projects- In Process\TIP Emissions Spreadsheets - 2021\"/>
    </mc:Choice>
  </mc:AlternateContent>
  <xr:revisionPtr revIDLastSave="135" documentId="13_ncr:1_{7F2E529F-B867-499D-B5EE-C31247613F9F}" xr6:coauthVersionLast="45" xr6:coauthVersionMax="45" xr10:uidLastSave="{4C677C76-7259-4E10-B125-6BA09D02D40D}"/>
  <bookViews>
    <workbookView xWindow="1950" yWindow="1965" windowWidth="28770" windowHeight="17370" tabRatio="763" firstSheet="2" activeTab="2" xr2:uid="{00000000-000D-0000-FFFF-FFFF00000000}"/>
  </bookViews>
  <sheets>
    <sheet name="ITS Delay Worksheet" sheetId="7" state="hidden" r:id="rId1"/>
    <sheet name="Emissions Reduction Worksheet" sheetId="5" state="hidden" r:id="rId2"/>
    <sheet name="Instructions" sheetId="18" r:id="rId3"/>
    <sheet name="Inputs &amp; Outputs" sheetId="11" r:id="rId4"/>
    <sheet name="Calculations" sheetId="13" r:id="rId5"/>
    <sheet name="Assumed Values" sheetId="2" r:id="rId6"/>
    <sheet name="Value of Emissions" sheetId="6" r:id="rId7"/>
    <sheet name="Emission Factors - NOx" sheetId="14" r:id="rId8"/>
    <sheet name="Emission Factors - VOC" sheetId="16" r:id="rId9"/>
    <sheet name="Service Life" sheetId="17" r:id="rId10"/>
  </sheets>
  <externalReferences>
    <externalReference r:id="rId11"/>
    <externalReference r:id="rId12"/>
  </externalReferences>
  <definedNames>
    <definedName name="_2018_2025_Demand_Growth">#REF!</definedName>
    <definedName name="_2018_2025_V_C_Growth">#REF!</definedName>
    <definedName name="_2018_2045_Demand_Growth">#REF!</definedName>
    <definedName name="_2018_2045_V_C_Growth">#REF!</definedName>
    <definedName name="_2018_Capacity">'Inputs &amp; Outputs'!#REF!</definedName>
    <definedName name="_2018_V_C_Ratio">Calculations!#REF!</definedName>
    <definedName name="_2018_Volume">'Inputs &amp; Outputs'!#REF!</definedName>
    <definedName name="_2025_2045_Demand_Growth">#REF!</definedName>
    <definedName name="_2025_2045_V_C_Growth">#REF!</definedName>
    <definedName name="_2025_Capacity">'Inputs &amp; Outputs'!$E$10</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#REF!</definedName>
    <definedName name="Application_ID_Number">'Inputs &amp; Outputs'!$B$7</definedName>
    <definedName name="Base_Year">#REF!</definedName>
    <definedName name="Discount_Rate">Calculations!#REF!</definedName>
    <definedName name="Name">'Inputs &amp; Outputs'!$B$6</definedName>
    <definedName name="_xlnm.Print_Area" localSheetId="5">'Assumed Values'!$B$2:$C$14</definedName>
    <definedName name="_xlnm.Print_Area" localSheetId="4">Calculations!#REF!</definedName>
    <definedName name="_xlnm.Print_Area" localSheetId="1">'Emissions Reduction Worksheet'!$A$3:$K$33</definedName>
    <definedName name="_xlnm.Print_Area" localSheetId="3">'Inputs &amp; Outputs'!$A$3:$E$35</definedName>
    <definedName name="_xlnm.Print_Area" localSheetId="2">Instructions!$A$1:$G$12</definedName>
    <definedName name="_xlnm.Print_Area" localSheetId="0">'ITS Delay Worksheet'!$A$3:$J$33</definedName>
    <definedName name="Real_wage_growth_rate">#REF!</definedName>
    <definedName name="Service_Life">'[1]Inputs &amp; Outputs'!$C$19</definedName>
    <definedName name="Sponsor_ID_Number__CSJ__etc.">'Inputs &amp; Outputs'!$B$8</definedName>
    <definedName name="Value_of_Delay_Savings__2015_____000s">[2]Calculations!$S$4:$S$36</definedName>
    <definedName name="Value_of_Delay_Savings__2018_____000s">Calculations!#REF!+Calculations!#REF!</definedName>
    <definedName name="Value_of_Travel_Time__VoTT___2018">#REF!</definedName>
    <definedName name="Vehicle_Occupancy">#REF!</definedName>
    <definedName name="Year_Open_to_Traffic?">'Inputs &amp; Outputs'!$B$12</definedName>
    <definedName name="Years_to_include_in_BCA_Analys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 l="1"/>
  <c r="C5" i="2"/>
  <c r="C11" i="13"/>
  <c r="C5" i="13" l="1"/>
  <c r="C15" i="13" l="1"/>
  <c r="C7" i="13" l="1"/>
  <c r="C6" i="13"/>
  <c r="D19" i="2"/>
  <c r="D18" i="2"/>
  <c r="C7" i="2" l="1"/>
  <c r="C8" i="2" s="1"/>
  <c r="A32" i="11" l="1"/>
  <c r="G34" i="13" l="1"/>
  <c r="G11" i="13"/>
  <c r="G13" i="13"/>
  <c r="G14" i="13"/>
  <c r="G9" i="13"/>
  <c r="G10" i="13"/>
  <c r="G12" i="13"/>
  <c r="G18" i="13"/>
  <c r="G19" i="13"/>
  <c r="G27" i="13"/>
  <c r="G20" i="13"/>
  <c r="G28" i="13"/>
  <c r="G5" i="13"/>
  <c r="G21" i="13"/>
  <c r="G29" i="13"/>
  <c r="G6" i="13"/>
  <c r="G22" i="13"/>
  <c r="G30" i="13"/>
  <c r="G7" i="13"/>
  <c r="G15" i="13"/>
  <c r="G23" i="13"/>
  <c r="G31" i="13"/>
  <c r="G8" i="13"/>
  <c r="G16" i="13"/>
  <c r="G24" i="13"/>
  <c r="G32" i="13"/>
  <c r="G17" i="13"/>
  <c r="G25" i="13"/>
  <c r="G33" i="13"/>
  <c r="G26" i="13"/>
  <c r="C17" i="13" l="1"/>
  <c r="H5" i="13" l="1"/>
  <c r="F6" i="13"/>
  <c r="I5" i="13" l="1"/>
  <c r="I6" i="13" s="1"/>
  <c r="H6" i="13"/>
  <c r="F7" i="13"/>
  <c r="I7" i="13" l="1"/>
  <c r="N5" i="13"/>
  <c r="O5" i="13" s="1"/>
  <c r="N6" i="13"/>
  <c r="O6" i="13" s="1"/>
  <c r="J5" i="13"/>
  <c r="K5" i="13" s="1"/>
  <c r="J6" i="13"/>
  <c r="K6" i="13" s="1"/>
  <c r="H7" i="13"/>
  <c r="F8" i="13"/>
  <c r="H8" i="13" s="1"/>
  <c r="N7" i="13" l="1"/>
  <c r="O7" i="13" s="1"/>
  <c r="I8" i="13"/>
  <c r="P5" i="13"/>
  <c r="L5" i="13"/>
  <c r="L6" i="13"/>
  <c r="P6" i="13"/>
  <c r="J7" i="13"/>
  <c r="K7" i="13" s="1"/>
  <c r="F9" i="13"/>
  <c r="I9" i="13" l="1"/>
  <c r="J8" i="13"/>
  <c r="K8" i="13" s="1"/>
  <c r="L8" i="13" s="1"/>
  <c r="N8" i="13"/>
  <c r="O8" i="13" s="1"/>
  <c r="L7" i="13"/>
  <c r="P7" i="13"/>
  <c r="H9" i="13"/>
  <c r="F10" i="13"/>
  <c r="N9" i="13" l="1"/>
  <c r="O9" i="13" s="1"/>
  <c r="I10" i="13"/>
  <c r="P8" i="13"/>
  <c r="J9" i="13"/>
  <c r="K9" i="13" s="1"/>
  <c r="H10" i="13"/>
  <c r="F11" i="13"/>
  <c r="I11" i="13" l="1"/>
  <c r="N10" i="13"/>
  <c r="O10" i="13" s="1"/>
  <c r="L9" i="13"/>
  <c r="P9" i="13"/>
  <c r="J10" i="13"/>
  <c r="K10" i="13" s="1"/>
  <c r="H11" i="13"/>
  <c r="F12" i="13"/>
  <c r="I12" i="13" l="1"/>
  <c r="N11" i="13"/>
  <c r="L10" i="13"/>
  <c r="P10" i="13"/>
  <c r="J11" i="13"/>
  <c r="K11" i="13" s="1"/>
  <c r="H12" i="13"/>
  <c r="O11" i="13"/>
  <c r="F13" i="13"/>
  <c r="N12" i="13" l="1"/>
  <c r="O12" i="13" s="1"/>
  <c r="I13" i="13"/>
  <c r="L11" i="13"/>
  <c r="P11" i="13"/>
  <c r="J12" i="13"/>
  <c r="K12" i="13" s="1"/>
  <c r="H13" i="13"/>
  <c r="N13" i="13" s="1"/>
  <c r="F14" i="13"/>
  <c r="I14" i="13" s="1"/>
  <c r="L12" i="13" l="1"/>
  <c r="P12" i="13"/>
  <c r="J13" i="13"/>
  <c r="K13" i="13" s="1"/>
  <c r="H14" i="13"/>
  <c r="N14" i="13" s="1"/>
  <c r="O13" i="13"/>
  <c r="F15" i="13"/>
  <c r="I15" i="13" s="1"/>
  <c r="L13" i="13" l="1"/>
  <c r="P13" i="13"/>
  <c r="J14" i="13"/>
  <c r="K14" i="13" s="1"/>
  <c r="H15" i="13"/>
  <c r="N15" i="13" s="1"/>
  <c r="O14" i="13"/>
  <c r="F16" i="13"/>
  <c r="I16" i="13" s="1"/>
  <c r="L14" i="13" l="1"/>
  <c r="P14" i="13"/>
  <c r="J15" i="13"/>
  <c r="K15" i="13" s="1"/>
  <c r="H16" i="13"/>
  <c r="N16" i="13" s="1"/>
  <c r="O15" i="13"/>
  <c r="F17" i="13"/>
  <c r="I17" i="13" s="1"/>
  <c r="B18" i="5"/>
  <c r="E17" i="5" s="1"/>
  <c r="G4" i="7"/>
  <c r="H4" i="7" s="1"/>
  <c r="G4" i="5"/>
  <c r="G5" i="5" s="1"/>
  <c r="G6" i="5" s="1"/>
  <c r="G7" i="5" s="1"/>
  <c r="G8" i="5" s="1"/>
  <c r="G9" i="5" s="1"/>
  <c r="G10" i="5" s="1"/>
  <c r="G11" i="5" s="1"/>
  <c r="G12" i="5" s="1"/>
  <c r="G13" i="5" s="1"/>
  <c r="G14" i="5" s="1"/>
  <c r="B18" i="7"/>
  <c r="B17" i="7"/>
  <c r="B16" i="7"/>
  <c r="E17" i="7"/>
  <c r="L15" i="13" l="1"/>
  <c r="P15" i="13"/>
  <c r="J16" i="13"/>
  <c r="K16" i="13" s="1"/>
  <c r="G5" i="7"/>
  <c r="H5" i="7" s="1"/>
  <c r="H17" i="13"/>
  <c r="N17" i="13" s="1"/>
  <c r="I4" i="7"/>
  <c r="O16" i="13"/>
  <c r="Q10" i="13"/>
  <c r="B19" i="5"/>
  <c r="E18" i="5" s="1"/>
  <c r="J4" i="5" s="1"/>
  <c r="M10" i="13"/>
  <c r="F18" i="13"/>
  <c r="I18" i="13" s="1"/>
  <c r="J14" i="5"/>
  <c r="H14" i="5"/>
  <c r="G15" i="5"/>
  <c r="H10" i="5"/>
  <c r="G6" i="7"/>
  <c r="I5" i="7"/>
  <c r="H6" i="5"/>
  <c r="H11" i="5"/>
  <c r="H12" i="5"/>
  <c r="H4" i="5"/>
  <c r="H13" i="5"/>
  <c r="H5" i="5"/>
  <c r="H7" i="5"/>
  <c r="H8" i="5"/>
  <c r="H9" i="5"/>
  <c r="L16" i="13" l="1"/>
  <c r="P16" i="13"/>
  <c r="J17" i="13"/>
  <c r="K17" i="13" s="1"/>
  <c r="H18" i="13"/>
  <c r="N18" i="13" s="1"/>
  <c r="O17" i="13"/>
  <c r="J9" i="5"/>
  <c r="J10" i="5"/>
  <c r="J6" i="5"/>
  <c r="J13" i="5"/>
  <c r="J11" i="5"/>
  <c r="J7" i="5"/>
  <c r="J5" i="5"/>
  <c r="J12" i="5"/>
  <c r="J8" i="5"/>
  <c r="F19" i="13"/>
  <c r="I19" i="13" s="1"/>
  <c r="B20" i="5"/>
  <c r="I9" i="5" s="1"/>
  <c r="B21" i="5"/>
  <c r="K4" i="5" s="1"/>
  <c r="H6" i="7"/>
  <c r="I6" i="7"/>
  <c r="G7" i="7"/>
  <c r="H15" i="5"/>
  <c r="G16" i="5"/>
  <c r="J15" i="5"/>
  <c r="B19" i="7"/>
  <c r="L17" i="13" l="1"/>
  <c r="P17" i="13"/>
  <c r="J18" i="13"/>
  <c r="K18" i="13" s="1"/>
  <c r="H19" i="13"/>
  <c r="N19" i="13" s="1"/>
  <c r="O18" i="13"/>
  <c r="I7" i="5"/>
  <c r="F20" i="13"/>
  <c r="I20" i="13" s="1"/>
  <c r="I4" i="5"/>
  <c r="I10" i="5"/>
  <c r="I8" i="5"/>
  <c r="K5" i="5"/>
  <c r="I13" i="5"/>
  <c r="K12" i="5"/>
  <c r="I11" i="5"/>
  <c r="K13" i="5"/>
  <c r="I6" i="5"/>
  <c r="I5" i="5"/>
  <c r="K9" i="5"/>
  <c r="I14" i="5"/>
  <c r="K8" i="5"/>
  <c r="K6" i="5"/>
  <c r="K15" i="5"/>
  <c r="I12" i="5"/>
  <c r="K10" i="5"/>
  <c r="K7" i="5"/>
  <c r="K11" i="5"/>
  <c r="K14" i="5"/>
  <c r="H16" i="5"/>
  <c r="I16" i="5" s="1"/>
  <c r="J16" i="5"/>
  <c r="K16" i="5" s="1"/>
  <c r="G17" i="5"/>
  <c r="I15" i="5"/>
  <c r="G8" i="7"/>
  <c r="H7" i="7"/>
  <c r="I7" i="7"/>
  <c r="J7" i="7" s="1"/>
  <c r="J6" i="7"/>
  <c r="J5" i="7"/>
  <c r="J4" i="7"/>
  <c r="L18" i="13" l="1"/>
  <c r="P18" i="13"/>
  <c r="J19" i="13"/>
  <c r="K19" i="13" s="1"/>
  <c r="H20" i="13"/>
  <c r="N20" i="13" s="1"/>
  <c r="O19" i="13"/>
  <c r="F21" i="13"/>
  <c r="I21" i="13" s="1"/>
  <c r="H8" i="7"/>
  <c r="I8" i="7" s="1"/>
  <c r="J8" i="7" s="1"/>
  <c r="G9" i="7"/>
  <c r="G18" i="5"/>
  <c r="H17" i="5"/>
  <c r="J17" i="5"/>
  <c r="K17" i="5" s="1"/>
  <c r="B11" i="7"/>
  <c r="B12" i="7" s="1"/>
  <c r="L19" i="13" l="1"/>
  <c r="P19" i="13"/>
  <c r="J20" i="13"/>
  <c r="K20" i="13" s="1"/>
  <c r="H21" i="13"/>
  <c r="N21" i="13" s="1"/>
  <c r="O20" i="13"/>
  <c r="F22" i="13"/>
  <c r="I22" i="13" s="1"/>
  <c r="I17" i="5"/>
  <c r="G10" i="7"/>
  <c r="H9" i="7"/>
  <c r="I9" i="7" s="1"/>
  <c r="J9" i="7" s="1"/>
  <c r="G19" i="5"/>
  <c r="H18" i="5"/>
  <c r="I18" i="5" s="1"/>
  <c r="J18" i="5"/>
  <c r="K18" i="5" s="1"/>
  <c r="L20" i="13" l="1"/>
  <c r="P20" i="13"/>
  <c r="J21" i="13"/>
  <c r="K21" i="13" s="1"/>
  <c r="H22" i="13"/>
  <c r="N22" i="13" s="1"/>
  <c r="O21" i="13"/>
  <c r="F23" i="13"/>
  <c r="I23" i="13" s="1"/>
  <c r="J19" i="5"/>
  <c r="K19" i="5" s="1"/>
  <c r="G20" i="5"/>
  <c r="H19" i="5"/>
  <c r="I19" i="5" s="1"/>
  <c r="G11" i="7"/>
  <c r="H10" i="7"/>
  <c r="I10" i="7" s="1"/>
  <c r="J10" i="7" s="1"/>
  <c r="L21" i="13" l="1"/>
  <c r="P21" i="13"/>
  <c r="Q21" i="13" s="1"/>
  <c r="J22" i="13"/>
  <c r="K22" i="13" s="1"/>
  <c r="O22" i="13"/>
  <c r="H23" i="13"/>
  <c r="N23" i="13" s="1"/>
  <c r="F24" i="13"/>
  <c r="I24" i="13" s="1"/>
  <c r="H11" i="7"/>
  <c r="I11" i="7"/>
  <c r="J11" i="7" s="1"/>
  <c r="G12" i="7"/>
  <c r="J20" i="5"/>
  <c r="K20" i="5" s="1"/>
  <c r="G21" i="5"/>
  <c r="H20" i="5"/>
  <c r="L22" i="13" l="1"/>
  <c r="P22" i="13"/>
  <c r="Q22" i="13" s="1"/>
  <c r="J23" i="13"/>
  <c r="K23" i="13" s="1"/>
  <c r="O23" i="13"/>
  <c r="H24" i="13"/>
  <c r="N24" i="13" s="1"/>
  <c r="F25" i="13"/>
  <c r="I20" i="5"/>
  <c r="G13" i="7"/>
  <c r="H12" i="7"/>
  <c r="I12" i="7" s="1"/>
  <c r="J12" i="7" s="1"/>
  <c r="J21" i="5"/>
  <c r="K21" i="5" s="1"/>
  <c r="H21" i="5"/>
  <c r="I21" i="5" s="1"/>
  <c r="G22" i="5"/>
  <c r="L23" i="13" l="1"/>
  <c r="P23" i="13"/>
  <c r="Q23" i="13" s="1"/>
  <c r="J24" i="13"/>
  <c r="K24" i="13" s="1"/>
  <c r="O24" i="13"/>
  <c r="H25" i="13"/>
  <c r="I25" i="13"/>
  <c r="F26" i="13"/>
  <c r="H13" i="7"/>
  <c r="I13" i="7" s="1"/>
  <c r="J13" i="7" s="1"/>
  <c r="G14" i="7"/>
  <c r="J22" i="5"/>
  <c r="K22" i="5" s="1"/>
  <c r="G23" i="5"/>
  <c r="H22" i="5"/>
  <c r="I22" i="5" s="1"/>
  <c r="L24" i="13" l="1"/>
  <c r="P24" i="13"/>
  <c r="Q24" i="13" s="1"/>
  <c r="N25" i="13"/>
  <c r="O25" i="13" s="1"/>
  <c r="J25" i="13"/>
  <c r="K25" i="13" s="1"/>
  <c r="H26" i="13"/>
  <c r="I26" i="13"/>
  <c r="F27" i="13"/>
  <c r="H23" i="5"/>
  <c r="I23" i="5" s="1"/>
  <c r="J23" i="5"/>
  <c r="K23" i="5" s="1"/>
  <c r="G24" i="5"/>
  <c r="H14" i="7"/>
  <c r="I14" i="7" s="1"/>
  <c r="J14" i="7" s="1"/>
  <c r="G15" i="7"/>
  <c r="L25" i="13" l="1"/>
  <c r="P25" i="13"/>
  <c r="Q25" i="13" s="1"/>
  <c r="J26" i="13"/>
  <c r="K26" i="13" s="1"/>
  <c r="N26" i="13"/>
  <c r="O26" i="13" s="1"/>
  <c r="H27" i="13"/>
  <c r="I27" i="13"/>
  <c r="F28" i="13"/>
  <c r="G16" i="7"/>
  <c r="H15" i="7"/>
  <c r="I15" i="7" s="1"/>
  <c r="J15" i="7" s="1"/>
  <c r="H24" i="5"/>
  <c r="I24" i="5" s="1"/>
  <c r="J24" i="5"/>
  <c r="K24" i="5" s="1"/>
  <c r="G25" i="5"/>
  <c r="L26" i="13" l="1"/>
  <c r="P26" i="13"/>
  <c r="Q26" i="13" s="1"/>
  <c r="N27" i="13"/>
  <c r="O27" i="13" s="1"/>
  <c r="J27" i="13"/>
  <c r="K27" i="13" s="1"/>
  <c r="H28" i="13"/>
  <c r="I28" i="13"/>
  <c r="B11" i="5"/>
  <c r="B12" i="5" s="1"/>
  <c r="F29" i="13"/>
  <c r="G26" i="5"/>
  <c r="H25" i="5"/>
  <c r="I25" i="5" s="1"/>
  <c r="J25" i="5"/>
  <c r="K25" i="5" s="1"/>
  <c r="H16" i="7"/>
  <c r="I16" i="7"/>
  <c r="J16" i="7" s="1"/>
  <c r="G17" i="7"/>
  <c r="L27" i="13" l="1"/>
  <c r="P27" i="13"/>
  <c r="Q27" i="13" s="1"/>
  <c r="J28" i="13"/>
  <c r="K28" i="13" s="1"/>
  <c r="N28" i="13"/>
  <c r="O28" i="13" s="1"/>
  <c r="H29" i="13"/>
  <c r="I29" i="13"/>
  <c r="F30" i="13"/>
  <c r="H17" i="7"/>
  <c r="I17" i="7" s="1"/>
  <c r="J17" i="7" s="1"/>
  <c r="G18" i="7"/>
  <c r="G27" i="5"/>
  <c r="H26" i="5"/>
  <c r="I26" i="5" s="1"/>
  <c r="J26" i="5"/>
  <c r="K26" i="5" s="1"/>
  <c r="L28" i="13" l="1"/>
  <c r="P28" i="13"/>
  <c r="Q28" i="13" s="1"/>
  <c r="J29" i="13"/>
  <c r="K29" i="13" s="1"/>
  <c r="N29" i="13"/>
  <c r="O29" i="13" s="1"/>
  <c r="H30" i="13"/>
  <c r="I30" i="13"/>
  <c r="F31" i="13"/>
  <c r="J27" i="5"/>
  <c r="K27" i="5" s="1"/>
  <c r="G28" i="5"/>
  <c r="H27" i="5"/>
  <c r="I27" i="5" s="1"/>
  <c r="G19" i="7"/>
  <c r="H18" i="7"/>
  <c r="I18" i="7" s="1"/>
  <c r="J18" i="7" s="1"/>
  <c r="L29" i="13" l="1"/>
  <c r="P29" i="13"/>
  <c r="Q29" i="13" s="1"/>
  <c r="J30" i="13"/>
  <c r="K30" i="13" s="1"/>
  <c r="N30" i="13"/>
  <c r="O30" i="13" s="1"/>
  <c r="H31" i="13"/>
  <c r="I31" i="13"/>
  <c r="F32" i="13"/>
  <c r="G29" i="5"/>
  <c r="H28" i="5"/>
  <c r="I28" i="5" s="1"/>
  <c r="J28" i="5"/>
  <c r="K28" i="5" s="1"/>
  <c r="H19" i="7"/>
  <c r="I19" i="7" s="1"/>
  <c r="J19" i="7" s="1"/>
  <c r="G20" i="7"/>
  <c r="L30" i="13" l="1"/>
  <c r="P30" i="13"/>
  <c r="Q30" i="13" s="1"/>
  <c r="N31" i="13"/>
  <c r="O31" i="13" s="1"/>
  <c r="J31" i="13"/>
  <c r="K31" i="13" s="1"/>
  <c r="H32" i="13"/>
  <c r="I32" i="13"/>
  <c r="F33" i="13"/>
  <c r="G21" i="7"/>
  <c r="H20" i="7"/>
  <c r="I20" i="7" s="1"/>
  <c r="J20" i="7" s="1"/>
  <c r="J29" i="5"/>
  <c r="K29" i="5" s="1"/>
  <c r="H29" i="5"/>
  <c r="L31" i="13" l="1"/>
  <c r="P31" i="13"/>
  <c r="Q31" i="13" s="1"/>
  <c r="N32" i="13"/>
  <c r="O32" i="13" s="1"/>
  <c r="J32" i="13"/>
  <c r="K32" i="13" s="1"/>
  <c r="H33" i="13"/>
  <c r="I33" i="13"/>
  <c r="F34" i="13"/>
  <c r="I29" i="5"/>
  <c r="B13" i="5"/>
  <c r="H21" i="7"/>
  <c r="I21" i="7" s="1"/>
  <c r="J21" i="7" s="1"/>
  <c r="G22" i="7"/>
  <c r="L32" i="13" l="1"/>
  <c r="P32" i="13"/>
  <c r="Q32" i="13" s="1"/>
  <c r="N33" i="13"/>
  <c r="O33" i="13" s="1"/>
  <c r="J33" i="13"/>
  <c r="K33" i="13" s="1"/>
  <c r="H34" i="13"/>
  <c r="I34" i="13"/>
  <c r="H22" i="7"/>
  <c r="I22" i="7" s="1"/>
  <c r="J22" i="7" s="1"/>
  <c r="G23" i="7"/>
  <c r="L33" i="13" l="1"/>
  <c r="P33" i="13"/>
  <c r="Q33" i="13" s="1"/>
  <c r="N34" i="13"/>
  <c r="O34" i="13" s="1"/>
  <c r="J34" i="13"/>
  <c r="K34" i="13" s="1"/>
  <c r="G24" i="7"/>
  <c r="H23" i="7"/>
  <c r="I23" i="7" s="1"/>
  <c r="J23" i="7" s="1"/>
  <c r="L34" i="13" l="1"/>
  <c r="P34" i="13"/>
  <c r="P35" i="13" s="1"/>
  <c r="H24" i="7"/>
  <c r="I24" i="7" s="1"/>
  <c r="J24" i="7" s="1"/>
  <c r="G25" i="7"/>
  <c r="Q34" i="13" l="1"/>
  <c r="G26" i="7"/>
  <c r="H25" i="7"/>
  <c r="I25" i="7" s="1"/>
  <c r="J25" i="7" s="1"/>
  <c r="G27" i="7" l="1"/>
  <c r="H26" i="7"/>
  <c r="I26" i="7" s="1"/>
  <c r="J26" i="7" s="1"/>
  <c r="H27" i="7" l="1"/>
  <c r="I27" i="7" s="1"/>
  <c r="J27" i="7" s="1"/>
  <c r="G28" i="7"/>
  <c r="H28" i="7" l="1"/>
  <c r="I28" i="7" s="1"/>
  <c r="J28" i="7" s="1"/>
  <c r="G29" i="7"/>
  <c r="H29" i="7" l="1"/>
  <c r="I29" i="7" s="1"/>
  <c r="J29" i="7" s="1"/>
  <c r="Q17" i="13" l="1"/>
  <c r="Q19" i="13"/>
  <c r="Q13" i="13"/>
  <c r="Q12" i="13"/>
  <c r="Q14" i="13"/>
  <c r="M16" i="13"/>
  <c r="M9" i="13"/>
  <c r="M17" i="13"/>
  <c r="M13" i="13"/>
  <c r="M12" i="13"/>
  <c r="M19" i="13"/>
  <c r="Q18" i="13"/>
  <c r="Q11" i="13"/>
  <c r="Q15" i="13"/>
  <c r="Q9" i="13"/>
  <c r="M11" i="13"/>
  <c r="Q20" i="13"/>
  <c r="Q16" i="13"/>
  <c r="M18" i="13"/>
  <c r="M15" i="13"/>
  <c r="Q8" i="13"/>
  <c r="M14" i="13"/>
  <c r="M6" i="13" l="1"/>
  <c r="Q7" i="13"/>
  <c r="M8" i="13"/>
  <c r="M5" i="13"/>
  <c r="Q6" i="13"/>
  <c r="M7" i="13"/>
  <c r="Q5" i="13"/>
  <c r="Q35" i="13" l="1"/>
  <c r="B27" i="11" s="1"/>
  <c r="O35" i="13"/>
  <c r="B34" i="11" s="1"/>
  <c r="M29" i="13" l="1"/>
  <c r="M27" i="13"/>
  <c r="M30" i="13"/>
  <c r="M22" i="13"/>
  <c r="M25" i="13"/>
  <c r="M24" i="13"/>
  <c r="M28" i="13"/>
  <c r="M26" i="13"/>
  <c r="M20" i="13"/>
  <c r="M23" i="13" l="1"/>
  <c r="M21" i="13"/>
  <c r="M31" i="13"/>
  <c r="M32" i="13"/>
  <c r="M34" i="13" l="1"/>
  <c r="M33" i="13"/>
  <c r="M35" i="13" l="1"/>
  <c r="K35" i="13"/>
  <c r="B33" i="11" s="1"/>
  <c r="B26" i="11" l="1"/>
  <c r="B30" i="11" s="1"/>
  <c r="L35" i="13"/>
</calcChain>
</file>

<file path=xl/sharedStrings.xml><?xml version="1.0" encoding="utf-8"?>
<sst xmlns="http://schemas.openxmlformats.org/spreadsheetml/2006/main" count="222" uniqueCount="142">
  <si>
    <t>Project Information</t>
  </si>
  <si>
    <t>Assumptions</t>
  </si>
  <si>
    <t>Base Year</t>
  </si>
  <si>
    <t>Discount Rate</t>
  </si>
  <si>
    <t>Vehicle Occupancy</t>
  </si>
  <si>
    <t>Name:</t>
  </si>
  <si>
    <t>ID Number:</t>
  </si>
  <si>
    <t>New HOV?</t>
  </si>
  <si>
    <t>Value of Travel Time (VoTT)</t>
  </si>
  <si>
    <t>With Project</t>
  </si>
  <si>
    <t>Control Values</t>
  </si>
  <si>
    <t>YES</t>
  </si>
  <si>
    <t>NO</t>
  </si>
  <si>
    <t>Year</t>
  </si>
  <si>
    <t>Interim Calculations</t>
  </si>
  <si>
    <t>Annual Days of Travel</t>
  </si>
  <si>
    <t>Delay B/C Ratio</t>
  </si>
  <si>
    <t>BCA Results</t>
  </si>
  <si>
    <t>Daily System/Facility Data</t>
  </si>
  <si>
    <t>Annual VHT Savings</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</si>
  <si>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</si>
  <si>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</si>
  <si>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</si>
  <si>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</si>
  <si>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</si>
  <si>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</si>
  <si>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</si>
  <si>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</si>
  <si>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</si>
  <si>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</si>
  <si>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</si>
  <si>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</si>
  <si>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</si>
  <si>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</si>
  <si>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</si>
  <si>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</si>
  <si>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</si>
  <si>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</si>
  <si>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</si>
  <si>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</si>
  <si>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</si>
  <si>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</si>
  <si>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</si>
  <si>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</si>
  <si>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</si>
  <si>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</si>
  <si>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</si>
  <si>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</si>
  <si>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Application ID Number:</t>
  </si>
  <si>
    <t>Sponsor ID Number (CSJ, etc.):</t>
  </si>
  <si>
    <t>Use in Analysis?</t>
  </si>
  <si>
    <t>Benefit Results</t>
  </si>
  <si>
    <t>INPUTS</t>
  </si>
  <si>
    <t>OUTPUTS</t>
  </si>
  <si>
    <r>
      <t xml:space="preserve">Year Open to Traffic? </t>
    </r>
    <r>
      <rPr>
        <b/>
        <sz val="11"/>
        <color theme="1"/>
        <rFont val="Calibri"/>
        <family val="2"/>
        <scheme val="minor"/>
      </rPr>
      <t>(Must be &gt;=2021)</t>
    </r>
  </si>
  <si>
    <t>Applicable Project Life (years)</t>
  </si>
  <si>
    <t>NOx (g/day)</t>
  </si>
  <si>
    <t>Total</t>
  </si>
  <si>
    <t>NOx Emission Reduction Benefit</t>
  </si>
  <si>
    <t>Annual Emission Reductions Over Life of Project</t>
  </si>
  <si>
    <t>Discounted NOx Benefit (7%)</t>
  </si>
  <si>
    <t>VOC Emission Reduction Benefit</t>
  </si>
  <si>
    <t>Discounted VOC Benefit (7%)</t>
  </si>
  <si>
    <t>Brazoria</t>
  </si>
  <si>
    <t>Chambers</t>
  </si>
  <si>
    <t>Fort Bend</t>
  </si>
  <si>
    <t>Galveston</t>
  </si>
  <si>
    <t>Harris</t>
  </si>
  <si>
    <t>Liberty</t>
  </si>
  <si>
    <t>Montgomery</t>
  </si>
  <si>
    <t>Waller</t>
  </si>
  <si>
    <t>Project County</t>
  </si>
  <si>
    <t>Facility Type</t>
  </si>
  <si>
    <t>Speed Bin</t>
  </si>
  <si>
    <t>VOC Emission Reductions (tons/year)</t>
  </si>
  <si>
    <t>Non Freeway</t>
  </si>
  <si>
    <t>Total Emissions Benefit Results</t>
  </si>
  <si>
    <t>Proposed Improvements Information</t>
  </si>
  <si>
    <t>Type of Improvement</t>
  </si>
  <si>
    <t>Estimated Travel Demand Reduced</t>
  </si>
  <si>
    <t>Estimated Daily VMT Reduced</t>
  </si>
  <si>
    <t>Demand Growth</t>
  </si>
  <si>
    <t>VOC (g/day)</t>
  </si>
  <si>
    <t>Estimated Daily VMT Reduced in Year Open to traffic</t>
  </si>
  <si>
    <t>All emissions rate are in gms/miles</t>
  </si>
  <si>
    <t>NOx (Short ton/yr)</t>
  </si>
  <si>
    <t>VOC (Short ton/yr)</t>
  </si>
  <si>
    <t>Number of Days considered in a Year (Weekdays)</t>
  </si>
  <si>
    <t>Vehicle Occupancy (BCA Guidance)</t>
  </si>
  <si>
    <t>Estimated NOx Reductions In Year Open to Traffic (in gms/day)</t>
  </si>
  <si>
    <t>Estimated VOC Reductions In Year Open to Traffic (in Gms/day)</t>
  </si>
  <si>
    <t>Discounted NOx Benefits @ 7% (2018 $)</t>
  </si>
  <si>
    <t>Discounted VOC Benefits @ 7% (2018 $)</t>
  </si>
  <si>
    <t>All emissions rate are in gms/mile</t>
  </si>
  <si>
    <t>Discounted Emissions Benefits @ 7% (2018 $)</t>
  </si>
  <si>
    <t>All Rates are in gms/mile</t>
  </si>
  <si>
    <t>ADA Ramps</t>
  </si>
  <si>
    <t>Pedestrian/Bicycle Bridge/Underpass</t>
  </si>
  <si>
    <t>NOx Emission Reductions (tons/year)</t>
  </si>
  <si>
    <t>Average Arterial Roadway Speed</t>
  </si>
  <si>
    <t>2020 TIP Call For Projects - Benefit-Cost Analysis Assumptions*</t>
  </si>
  <si>
    <t>Eligible Counties</t>
  </si>
  <si>
    <t>Sidewalk Improvements</t>
  </si>
  <si>
    <t>Install New Sidewalks</t>
  </si>
  <si>
    <t>Paved Shoulder/Shared Use Path</t>
  </si>
  <si>
    <t>On Street Bicycle Lane</t>
  </si>
  <si>
    <t>Off Street Hike &amp; Bike Trails</t>
  </si>
  <si>
    <t>Type of Improvement Project</t>
  </si>
  <si>
    <t>Improvement Type</t>
  </si>
  <si>
    <t>Judgement estimate from regional model</t>
  </si>
  <si>
    <t>NOX</t>
  </si>
  <si>
    <t>SO2</t>
  </si>
  <si>
    <t>CO2</t>
  </si>
  <si>
    <t>https://www.transportation.gov/sites/dot.gov/files/2021-02/Benefit%20Cost%20Analysis%20Guidance%202021.pdf#page=35</t>
  </si>
  <si>
    <t>Value of Emissions, Benefit-Cost Analysis Guidance for
Discretionary Grant Programs</t>
  </si>
  <si>
    <t>Auto</t>
  </si>
  <si>
    <t>Walk</t>
  </si>
  <si>
    <t>Bike</t>
  </si>
  <si>
    <t>Constraint</t>
  </si>
  <si>
    <t>min one walk flow</t>
  </si>
  <si>
    <t>min one bike flow</t>
  </si>
  <si>
    <t>Source: 2019 CTPP Data Product based on 2012-2016 ACS</t>
  </si>
  <si>
    <t>Mode Shift/Conversion Ratio</t>
  </si>
  <si>
    <t>Minimum Length (miles)</t>
  </si>
  <si>
    <t>Bike/Walk Combined</t>
  </si>
  <si>
    <t>Emissions Reduction Values</t>
  </si>
  <si>
    <t>2030-2050 Demand Growth</t>
  </si>
  <si>
    <t>2020-2030 Demand Growth</t>
  </si>
  <si>
    <t>Daily Travel Demand</t>
  </si>
  <si>
    <t>2050 Peak Period Traffic Volume</t>
  </si>
  <si>
    <t>2030 Peak Period Traffic Volume</t>
  </si>
  <si>
    <t>2021-2050 Demand Growth</t>
  </si>
  <si>
    <t>Data derived from Activity-Connectivity Explorer (ACE) tool</t>
  </si>
  <si>
    <t>Regional travel demand model data to be provided by H-GAC</t>
  </si>
  <si>
    <t>Benefits calculated by this tool</t>
  </si>
  <si>
    <t>VOC/PM2.5</t>
  </si>
  <si>
    <t>Project data entered by sponsors</t>
  </si>
  <si>
    <t>Information determined from project inputs</t>
  </si>
  <si>
    <t>MOSERS indictates a range of 10-12 years. Currently using a range suggested by previous projects.</t>
  </si>
  <si>
    <t>Project Life (Years)</t>
  </si>
  <si>
    <t>Estimated Daily VMT Reduced in Year Open to Traffic</t>
  </si>
  <si>
    <t xml:space="preserve">2020 Peak Period Traffic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</si>
</sst>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 numFmtId="168" formatCode="_(* #,##0.0000_);_(* \(#,##0.0000\);_(* &quot;-&quot;????_);_(@_)"/>
    <numFmt numFmtId="169" formatCode="0.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name val="Calibri"/>
      <family val="2"/>
      <scheme val="minor"/>
    </font>
    <font>
      <sz val="10"/>
      <color theme="1"/>
      <name val="Times New Roman"/>
      <family val="1"/>
    </font>
    <font>
      <sz val="11"/>
      <color rgb="FF000000"/>
      <name val="Calibri"/>
      <family val="2"/>
    </font>
    <font>
      <b/>
      <sz val="11"/>
      <color rgb="FF000000"/>
      <name val="Calibri"/>
      <family val="2"/>
    </font>
    <font>
      <sz val="8"/>
      <color rgb="FF000000"/>
      <name val="Calibri"/>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6" tint="0.39997558519241921"/>
        <bgColor indexed="64"/>
      </patternFill>
    </fill>
    <fill>
      <patternFill patternType="solid">
        <fgColor theme="0" tint="-4.9989318521683403E-2"/>
        <bgColor theme="8" tint="0.59999389629810485"/>
      </patternFill>
    </fill>
    <fill>
      <patternFill patternType="solid">
        <fgColor theme="5" tint="0.59999389629810485"/>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43">
    <xf numFmtId="0" fontId="0" fillId="0" borderId="0" xfId="0"/>
    <xf numFmtId="10" fontId="0" fillId="0" borderId="0" xfId="3" applyNumberFormat="1" applyFont="1"/>
    <xf numFmtId="0" fontId="3" fillId="0" borderId="0" xfId="0" applyFont="1"/>
    <xf numFmtId="0" fontId="4" fillId="0" borderId="0" xfId="0" applyFont="1"/>
    <xf numFmtId="0" fontId="0" fillId="0" borderId="0" xfId="0" applyProtection="1"/>
    <xf numFmtId="0" fontId="0" fillId="2" borderId="1" xfId="0" applyFill="1" applyBorder="1"/>
    <xf numFmtId="0" fontId="0" fillId="2" borderId="1" xfId="0" applyFill="1" applyBorder="1" applyProtection="1">
      <protection locked="0"/>
    </xf>
    <xf numFmtId="0" fontId="2" fillId="3" borderId="1" xfId="0" applyFont="1" applyFill="1" applyBorder="1"/>
    <xf numFmtId="0" fontId="7"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ont="1" applyFill="1" applyBorder="1" applyAlignment="1">
      <alignment horizontal="center"/>
    </xf>
    <xf numFmtId="0" fontId="0" fillId="8" borderId="1" xfId="0" applyFont="1" applyFill="1" applyBorder="1" applyAlignment="1">
      <alignment horizontal="center"/>
    </xf>
    <xf numFmtId="0" fontId="2" fillId="9" borderId="1" xfId="0" applyFont="1"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2" borderId="1" xfId="0" applyFill="1" applyBorder="1" applyAlignment="1"/>
    <xf numFmtId="165" fontId="0" fillId="2" borderId="1" xfId="0" applyNumberFormat="1" applyFill="1" applyBorder="1" applyProtection="1">
      <protection locked="0"/>
    </xf>
    <xf numFmtId="0" fontId="7" fillId="9"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0" fontId="3" fillId="0" borderId="0" xfId="0" applyFont="1" applyFill="1" applyBorder="1"/>
    <xf numFmtId="0" fontId="0" fillId="0" borderId="1" xfId="0" applyFill="1" applyBorder="1" applyAlignment="1">
      <alignment vertical="top"/>
    </xf>
    <xf numFmtId="0" fontId="0" fillId="0" borderId="1" xfId="0" applyBorder="1" applyAlignment="1">
      <alignment vertical="top"/>
    </xf>
    <xf numFmtId="167" fontId="0" fillId="11" borderId="3" xfId="0" applyNumberFormat="1" applyFill="1" applyBorder="1"/>
    <xf numFmtId="164" fontId="0" fillId="6" borderId="1" xfId="2" applyNumberFormat="1" applyFont="1" applyFill="1" applyBorder="1" applyAlignment="1">
      <alignment horizontal="center"/>
    </xf>
    <xf numFmtId="165" fontId="0" fillId="11" borderId="1" xfId="0" applyNumberFormat="1" applyFill="1" applyBorder="1"/>
    <xf numFmtId="164" fontId="0" fillId="6"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7" borderId="1" xfId="2" applyNumberFormat="1" applyFont="1" applyFill="1" applyBorder="1" applyAlignment="1" applyProtection="1">
      <alignment horizontal="center"/>
    </xf>
    <xf numFmtId="164" fontId="0" fillId="4" borderId="1" xfId="0" applyNumberFormat="1" applyFill="1" applyBorder="1"/>
    <xf numFmtId="2" fontId="0" fillId="4" borderId="1" xfId="0" applyNumberFormat="1" applyFill="1" applyBorder="1"/>
    <xf numFmtId="164" fontId="0" fillId="8" borderId="1" xfId="2" applyNumberFormat="1" applyFont="1" applyFill="1" applyBorder="1" applyAlignment="1">
      <alignment horizontal="center"/>
    </xf>
    <xf numFmtId="165" fontId="0" fillId="4" borderId="1" xfId="0" applyNumberFormat="1" applyFill="1" applyBorder="1"/>
    <xf numFmtId="166" fontId="0" fillId="11" borderId="1" xfId="0" applyNumberFormat="1" applyFill="1" applyBorder="1" applyProtection="1">
      <protection locked="0"/>
    </xf>
    <xf numFmtId="4" fontId="0" fillId="2" borderId="1" xfId="0" applyNumberFormat="1" applyFill="1" applyBorder="1" applyProtection="1">
      <protection locked="0"/>
    </xf>
    <xf numFmtId="0" fontId="0" fillId="2" borderId="1" xfId="0" applyNumberFormat="1" applyFill="1" applyBorder="1" applyProtection="1">
      <protection locked="0"/>
    </xf>
    <xf numFmtId="2" fontId="0" fillId="0" borderId="0" xfId="0" applyNumberFormat="1"/>
    <xf numFmtId="0" fontId="0" fillId="0" borderId="0" xfId="0" applyNumberFormat="1"/>
    <xf numFmtId="0" fontId="10" fillId="0" borderId="5" xfId="0" applyFont="1" applyBorder="1"/>
    <xf numFmtId="0" fontId="0" fillId="0" borderId="5" xfId="0" applyBorder="1"/>
    <xf numFmtId="3" fontId="0" fillId="0" borderId="0" xfId="0" applyNumberFormat="1" applyFill="1" applyBorder="1" applyProtection="1">
      <protection locked="0"/>
    </xf>
    <xf numFmtId="0" fontId="2" fillId="9" borderId="1" xfId="0" applyFont="1" applyFill="1" applyBorder="1" applyAlignment="1">
      <alignment horizontal="center" wrapText="1"/>
    </xf>
    <xf numFmtId="0" fontId="2" fillId="9" borderId="4" xfId="0" applyNumberFormat="1" applyFont="1" applyFill="1" applyBorder="1" applyAlignment="1">
      <alignment horizontal="center" wrapText="1"/>
    </xf>
    <xf numFmtId="0" fontId="2" fillId="9" borderId="6" xfId="0" applyNumberFormat="1" applyFont="1" applyFill="1" applyBorder="1" applyAlignment="1">
      <alignment horizontal="center" wrapText="1"/>
    </xf>
    <xf numFmtId="0" fontId="2" fillId="9" borderId="2" xfId="0" applyFont="1" applyFill="1" applyBorder="1" applyAlignment="1">
      <alignment horizontal="center" wrapText="1"/>
    </xf>
    <xf numFmtId="0" fontId="0" fillId="2" borderId="1" xfId="0" applyFill="1" applyBorder="1" applyAlignment="1" applyProtection="1">
      <alignment horizontal="right"/>
      <protection locked="0"/>
    </xf>
    <xf numFmtId="0" fontId="6" fillId="0" borderId="0" xfId="0" applyFont="1" applyFill="1" applyBorder="1"/>
    <xf numFmtId="3" fontId="6" fillId="0" borderId="0" xfId="0" applyNumberFormat="1" applyFont="1" applyFill="1" applyBorder="1" applyProtection="1">
      <protection locked="0"/>
    </xf>
    <xf numFmtId="3" fontId="6" fillId="0" borderId="1" xfId="0" applyNumberFormat="1" applyFont="1" applyFill="1" applyBorder="1" applyProtection="1">
      <protection locked="0"/>
    </xf>
    <xf numFmtId="0" fontId="0" fillId="13" borderId="1" xfId="0" applyFill="1" applyBorder="1"/>
    <xf numFmtId="3" fontId="0" fillId="13" borderId="1" xfId="0" applyNumberFormat="1" applyFill="1" applyBorder="1" applyProtection="1">
      <protection locked="0"/>
    </xf>
    <xf numFmtId="0" fontId="2" fillId="9" borderId="8" xfId="0" applyFont="1" applyFill="1" applyBorder="1" applyAlignment="1">
      <alignment horizontal="left"/>
    </xf>
    <xf numFmtId="10" fontId="0" fillId="11" borderId="1" xfId="3" applyNumberFormat="1" applyFont="1" applyFill="1" applyBorder="1"/>
    <xf numFmtId="0" fontId="2" fillId="9" borderId="1" xfId="0" applyFont="1" applyFill="1" applyBorder="1" applyAlignment="1"/>
    <xf numFmtId="0" fontId="11" fillId="0" borderId="1" xfId="0" applyFont="1" applyFill="1" applyBorder="1" applyAlignment="1"/>
    <xf numFmtId="10" fontId="2" fillId="9" borderId="1" xfId="3" applyNumberFormat="1" applyFont="1" applyFill="1" applyBorder="1" applyAlignment="1">
      <alignment horizontal="center"/>
    </xf>
    <xf numFmtId="10" fontId="0" fillId="11" borderId="1" xfId="3" applyNumberFormat="1" applyFont="1" applyFill="1" applyBorder="1" applyAlignment="1">
      <alignment horizontal="center"/>
    </xf>
    <xf numFmtId="3" fontId="0" fillId="6" borderId="1" xfId="0" applyNumberFormat="1" applyFont="1" applyFill="1" applyBorder="1" applyAlignment="1" applyProtection="1">
      <alignment horizontal="center"/>
    </xf>
    <xf numFmtId="0" fontId="0" fillId="14" borderId="1" xfId="0" applyFont="1" applyFill="1" applyBorder="1" applyAlignment="1">
      <alignment horizontal="center"/>
    </xf>
    <xf numFmtId="10" fontId="0" fillId="14" borderId="1" xfId="3" applyNumberFormat="1" applyFont="1" applyFill="1" applyBorder="1" applyAlignment="1">
      <alignment horizontal="center"/>
    </xf>
    <xf numFmtId="0" fontId="0" fillId="0" borderId="1" xfId="0" applyBorder="1"/>
    <xf numFmtId="43" fontId="0" fillId="0" borderId="1" xfId="1" applyFont="1" applyBorder="1"/>
    <xf numFmtId="168" fontId="0" fillId="0" borderId="1" xfId="1" applyNumberFormat="1" applyFont="1" applyBorder="1"/>
    <xf numFmtId="44" fontId="0" fillId="0" borderId="1" xfId="2" applyFont="1" applyBorder="1"/>
    <xf numFmtId="44" fontId="0" fillId="15" borderId="1" xfId="2" applyFont="1" applyFill="1" applyBorder="1"/>
    <xf numFmtId="2" fontId="0" fillId="0" borderId="0" xfId="0" applyNumberFormat="1" applyFill="1" applyBorder="1"/>
    <xf numFmtId="0" fontId="11" fillId="0" borderId="0" xfId="0" applyFont="1" applyFill="1" applyBorder="1" applyAlignment="1"/>
    <xf numFmtId="43" fontId="0" fillId="0" borderId="0" xfId="0" applyNumberFormat="1"/>
    <xf numFmtId="0" fontId="0" fillId="0" borderId="0" xfId="0" applyFill="1"/>
    <xf numFmtId="0" fontId="8" fillId="0" borderId="0" xfId="4" applyAlignment="1" applyProtection="1"/>
    <xf numFmtId="0" fontId="0" fillId="0" borderId="0" xfId="0"/>
    <xf numFmtId="0" fontId="2" fillId="9" borderId="1" xfId="0" applyFont="1" applyFill="1" applyBorder="1" applyAlignment="1">
      <alignment horizontal="center" wrapText="1"/>
    </xf>
    <xf numFmtId="168" fontId="0" fillId="0" borderId="1" xfId="1" applyNumberFormat="1" applyFont="1" applyBorder="1"/>
    <xf numFmtId="0" fontId="0" fillId="0" borderId="0" xfId="0" applyFill="1" applyBorder="1" applyAlignment="1">
      <alignment vertical="top"/>
    </xf>
    <xf numFmtId="0" fontId="0" fillId="0" borderId="0" xfId="0" applyBorder="1" applyAlignment="1">
      <alignment horizontal="right" vertical="top"/>
    </xf>
    <xf numFmtId="164" fontId="0" fillId="0" borderId="0" xfId="0" applyNumberFormat="1"/>
    <xf numFmtId="0" fontId="3" fillId="0" borderId="1" xfId="0" applyFont="1" applyBorder="1"/>
    <xf numFmtId="0" fontId="0" fillId="16" borderId="1" xfId="0" applyFill="1" applyBorder="1" applyProtection="1">
      <protection locked="0"/>
    </xf>
    <xf numFmtId="0" fontId="0" fillId="0" borderId="0" xfId="0" applyProtection="1">
      <protection locked="0"/>
    </xf>
    <xf numFmtId="0" fontId="0" fillId="13" borderId="1" xfId="0" applyFill="1" applyBorder="1" applyProtection="1">
      <protection locked="0"/>
    </xf>
    <xf numFmtId="0" fontId="0" fillId="4" borderId="1" xfId="0" applyFill="1" applyBorder="1" applyProtection="1">
      <protection locked="0"/>
    </xf>
    <xf numFmtId="164" fontId="0" fillId="4" borderId="1" xfId="0" applyNumberFormat="1" applyFill="1" applyBorder="1" applyProtection="1"/>
    <xf numFmtId="43" fontId="0" fillId="4" borderId="1" xfId="1" applyFont="1" applyFill="1" applyBorder="1" applyProtection="1"/>
    <xf numFmtId="2" fontId="3" fillId="0" borderId="1" xfId="0" applyNumberFormat="1" applyFont="1" applyBorder="1"/>
    <xf numFmtId="169" fontId="0" fillId="0" borderId="1" xfId="0" applyNumberFormat="1" applyBorder="1"/>
    <xf numFmtId="166" fontId="0" fillId="0" borderId="1" xfId="0" applyNumberFormat="1" applyBorder="1" applyAlignment="1">
      <alignment vertical="top"/>
    </xf>
    <xf numFmtId="2" fontId="0" fillId="0" borderId="9" xfId="0" applyNumberFormat="1" applyFont="1" applyBorder="1"/>
    <xf numFmtId="2" fontId="0" fillId="0" borderId="10" xfId="0" applyNumberFormat="1" applyFont="1" applyBorder="1"/>
    <xf numFmtId="0" fontId="3" fillId="10" borderId="11" xfId="0" applyFont="1"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xf numFmtId="0" fontId="3" fillId="10" borderId="16" xfId="0" applyFont="1" applyFill="1" applyBorder="1"/>
    <xf numFmtId="0" fontId="0" fillId="0" borderId="17" xfId="0" applyBorder="1"/>
    <xf numFmtId="0" fontId="3" fillId="10" borderId="12" xfId="0" applyFont="1" applyFill="1" applyBorder="1"/>
    <xf numFmtId="0" fontId="0" fillId="10" borderId="13" xfId="0" applyFill="1" applyBorder="1"/>
    <xf numFmtId="0" fontId="0" fillId="0" borderId="1" xfId="0" applyBorder="1" applyAlignment="1">
      <alignment horizontal="right"/>
    </xf>
    <xf numFmtId="6" fontId="0" fillId="0" borderId="0" xfId="0" applyNumberFormat="1" applyBorder="1"/>
    <xf numFmtId="6" fontId="0" fillId="0" borderId="20" xfId="0" applyNumberFormat="1" applyBorder="1"/>
    <xf numFmtId="6" fontId="0" fillId="0" borderId="21" xfId="0" applyNumberFormat="1" applyBorder="1"/>
    <xf numFmtId="6" fontId="0" fillId="0" borderId="22" xfId="0" applyNumberFormat="1" applyBorder="1"/>
    <xf numFmtId="0" fontId="0" fillId="0" borderId="23" xfId="0" applyBorder="1"/>
    <xf numFmtId="0" fontId="0" fillId="0" borderId="24" xfId="0" applyBorder="1"/>
    <xf numFmtId="0" fontId="4" fillId="0" borderId="0" xfId="0" applyFont="1" applyAlignment="1"/>
    <xf numFmtId="0" fontId="0" fillId="0" borderId="11" xfId="0" applyBorder="1" applyAlignment="1">
      <alignment horizontal="center"/>
    </xf>
    <xf numFmtId="0" fontId="0" fillId="0" borderId="19" xfId="0" applyBorder="1" applyAlignment="1">
      <alignment horizontal="center"/>
    </xf>
    <xf numFmtId="0" fontId="0" fillId="0" borderId="26" xfId="0" applyBorder="1" applyAlignment="1">
      <alignment horizontal="center"/>
    </xf>
    <xf numFmtId="0" fontId="0" fillId="0" borderId="0" xfId="0" applyAlignment="1"/>
    <xf numFmtId="0" fontId="12" fillId="0" borderId="0" xfId="0" applyFont="1"/>
    <xf numFmtId="0" fontId="15" fillId="0" borderId="0" xfId="0" applyFont="1" applyBorder="1" applyAlignment="1">
      <alignment vertical="center"/>
    </xf>
    <xf numFmtId="0" fontId="3" fillId="0" borderId="0" xfId="0" applyFont="1" applyBorder="1"/>
    <xf numFmtId="0" fontId="0" fillId="0" borderId="25" xfId="0" applyBorder="1"/>
    <xf numFmtId="10" fontId="13" fillId="0" borderId="1" xfId="0" applyNumberFormat="1" applyFont="1" applyBorder="1" applyAlignment="1">
      <alignment horizontal="right" vertical="center"/>
    </xf>
    <xf numFmtId="10" fontId="0" fillId="0" borderId="1" xfId="0" applyNumberFormat="1" applyBorder="1"/>
    <xf numFmtId="0" fontId="13" fillId="0" borderId="11" xfId="0" applyFont="1" applyBorder="1" applyAlignment="1">
      <alignment vertical="center"/>
    </xf>
    <xf numFmtId="0" fontId="14" fillId="0" borderId="27" xfId="0" applyFont="1" applyBorder="1" applyAlignment="1">
      <alignment horizontal="right" vertical="center"/>
    </xf>
    <xf numFmtId="0" fontId="14" fillId="0" borderId="12" xfId="0" applyFont="1" applyBorder="1" applyAlignment="1">
      <alignment horizontal="right" vertical="center"/>
    </xf>
    <xf numFmtId="0" fontId="13" fillId="0" borderId="15" xfId="0" applyFont="1" applyBorder="1" applyAlignment="1">
      <alignment vertical="center"/>
    </xf>
    <xf numFmtId="0" fontId="13" fillId="0" borderId="13" xfId="0" applyFont="1" applyBorder="1" applyAlignment="1">
      <alignment horizontal="right" vertical="center"/>
    </xf>
    <xf numFmtId="10" fontId="13" fillId="0" borderId="18" xfId="0" applyNumberFormat="1" applyFont="1" applyBorder="1" applyAlignment="1">
      <alignment horizontal="right" vertical="center"/>
    </xf>
    <xf numFmtId="10" fontId="0" fillId="0" borderId="18" xfId="0" applyNumberFormat="1" applyBorder="1"/>
    <xf numFmtId="0" fontId="13" fillId="0" borderId="14" xfId="0" applyFont="1" applyBorder="1" applyAlignment="1">
      <alignment horizontal="right" vertical="center"/>
    </xf>
    <xf numFmtId="0" fontId="0" fillId="0" borderId="0" xfId="0" applyFill="1" applyBorder="1" applyProtection="1">
      <protection locked="0"/>
    </xf>
    <xf numFmtId="0" fontId="0" fillId="0" borderId="0" xfId="0" applyFill="1" applyBorder="1" applyAlignment="1" applyProtection="1">
      <alignment wrapText="1"/>
      <protection locked="0"/>
    </xf>
    <xf numFmtId="0" fontId="3" fillId="0" borderId="27" xfId="0" applyFont="1" applyBorder="1" applyAlignment="1">
      <alignment horizontal="right"/>
    </xf>
    <xf numFmtId="10" fontId="13" fillId="0" borderId="1" xfId="0" applyNumberFormat="1" applyFont="1" applyFill="1" applyBorder="1" applyAlignment="1">
      <alignment horizontal="right" vertical="center"/>
    </xf>
    <xf numFmtId="10" fontId="13" fillId="0" borderId="18" xfId="0" applyNumberFormat="1" applyFont="1" applyFill="1" applyBorder="1" applyAlignment="1">
      <alignment horizontal="right" vertical="center"/>
    </xf>
    <xf numFmtId="0" fontId="10" fillId="0" borderId="0" xfId="0" applyFont="1" applyBorder="1"/>
    <xf numFmtId="0" fontId="0" fillId="0" borderId="0" xfId="0" applyBorder="1"/>
    <xf numFmtId="0" fontId="13" fillId="0" borderId="17" xfId="0" applyNumberFormat="1" applyFont="1" applyBorder="1" applyAlignment="1">
      <alignment vertical="center"/>
    </xf>
    <xf numFmtId="0" fontId="2" fillId="3" borderId="8" xfId="0" applyFont="1" applyFill="1" applyBorder="1"/>
    <xf numFmtId="0" fontId="9" fillId="3" borderId="2" xfId="0" applyFont="1" applyFill="1" applyBorder="1" applyAlignment="1">
      <alignment horizontal="center"/>
    </xf>
    <xf numFmtId="0" fontId="9" fillId="3" borderId="3" xfId="0" applyFont="1" applyFill="1" applyBorder="1" applyAlignment="1">
      <alignment horizontal="center"/>
    </xf>
    <xf numFmtId="0" fontId="3" fillId="0" borderId="1" xfId="0" applyFont="1" applyBorder="1" applyAlignment="1">
      <alignment horizontal="center"/>
    </xf>
    <xf numFmtId="0" fontId="0" fillId="0" borderId="7" xfId="0"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131884</xdr:colOff>
      <xdr:row>0</xdr:row>
      <xdr:rowOff>117231</xdr:rowOff>
    </xdr:from>
    <xdr:to>
      <xdr:col>8</xdr:col>
      <xdr:colOff>366346</xdr:colOff>
      <xdr:row>33</xdr:row>
      <xdr:rowOff>153865</xdr:rowOff>
    </xdr:to>
    <xdr:sp macro="" textlink="">
      <xdr:nvSpPr>
        <xdr:cNvPr id="2" name="Text Box 2">
          <a:extLst>
            <a:ext uri="{FF2B5EF4-FFF2-40B4-BE49-F238E27FC236}">
              <a16:creationId xmlns:a16="http://schemas.microsoft.com/office/drawing/2014/main" id="{C6BFB38E-2110-47A8-9896-28E6282FCCCC}"/>
            </a:ext>
          </a:extLst>
        </xdr:cNvPr>
        <xdr:cNvSpPr txBox="1">
          <a:spLocks noChangeArrowheads="1"/>
        </xdr:cNvSpPr>
      </xdr:nvSpPr>
      <xdr:spPr bwMode="auto">
        <a:xfrm>
          <a:off x="131884" y="117231"/>
          <a:ext cx="5111262" cy="6323134"/>
        </a:xfrm>
        <a:prstGeom prst="rect">
          <a:avLst/>
        </a:prstGeom>
        <a:solidFill>
          <a:schemeClr val="accent1">
            <a:lumMod val="50000"/>
          </a:schemeClr>
        </a:solidFill>
        <a:ln w="9525">
          <a:solidFill>
            <a:schemeClr val="accent1">
              <a:lumMod val="50000"/>
            </a:schemeClr>
          </a:solidFill>
          <a:miter lim="800000"/>
          <a:headEnd/>
          <a:tailEnd/>
        </a:ln>
      </xdr:spPr>
      <xdr:txBody>
        <a:bodyPr vertOverflow="clip" wrap="square" lIns="91440" tIns="45720" rIns="91440" bIns="45720" anchor="t" upright="1"/>
        <a:lstStyle/>
        <a:p>
          <a:pPr algn="l" rtl="0">
            <a:lnSpc>
              <a:spcPct val="150000"/>
            </a:lnSpc>
            <a:defRPr sz="1000"/>
          </a:pPr>
          <a:r>
            <a:rPr lang="en-US" sz="1100" b="1" i="0" u="none" strike="noStrike" baseline="0">
              <a:solidFill>
                <a:schemeClr val="bg1"/>
              </a:solidFill>
              <a:latin typeface="Calibri"/>
            </a:rPr>
            <a:t>Instructions: </a:t>
          </a:r>
          <a:endParaRPr lang="en-US" sz="1100" b="0" i="0" u="none" strike="noStrike" baseline="0">
            <a:solidFill>
              <a:schemeClr val="bg1"/>
            </a:solidFill>
            <a:latin typeface="Times New Roman"/>
            <a:cs typeface="Times New Roman"/>
          </a:endParaRPr>
        </a:p>
        <a:p>
          <a:pPr>
            <a:lnSpc>
              <a:spcPct val="150000"/>
            </a:lnSpc>
          </a:pPr>
          <a:r>
            <a:rPr lang="en-US" sz="1100">
              <a:solidFill>
                <a:schemeClr val="bg1"/>
              </a:solidFill>
              <a:effectLst/>
              <a:latin typeface="+mn-lt"/>
              <a:ea typeface="+mn-ea"/>
              <a:cs typeface="+mn-cs"/>
            </a:rPr>
            <a:t>1. On the "Inputs &amp; Outputs" tab, fill in all blue, yellow, and green shaded sections.</a:t>
          </a:r>
        </a:p>
        <a:p>
          <a:pPr>
            <a:lnSpc>
              <a:spcPct val="150000"/>
            </a:lnSpc>
          </a:pP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Project Information.</a:t>
          </a:r>
          <a:r>
            <a:rPr lang="en-US" sz="1100" baseline="0">
              <a:solidFill>
                <a:schemeClr val="bg1"/>
              </a:solidFill>
              <a:effectLst/>
              <a:latin typeface="+mn-lt"/>
              <a:ea typeface="+mn-ea"/>
              <a:cs typeface="+mn-cs"/>
            </a:rPr>
            <a:t> This is specific information about the project including the name of the project as well as application and sponsor ID numbers. 	Both of these ID numbers can be obtained from the H-GAC Call for Projects website</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1085850" marR="0" lvl="2" indent="-171450" defTabSz="914400" eaLnBrk="1" fontAlgn="auto" latinLnBrk="0" hangingPunct="1">
            <a:lnSpc>
              <a:spcPct val="150000"/>
            </a:lnSpc>
            <a:spcBef>
              <a:spcPts val="0"/>
            </a:spcBef>
            <a:spcAft>
              <a:spcPts val="0"/>
            </a:spcAft>
            <a:buClrTx/>
            <a:buSzTx/>
            <a:buFont typeface="Arial" panose="020B0604020202020204" pitchFamily="34" charset="0"/>
            <a:buChar char="•"/>
            <a:tabLst/>
            <a:defRPr/>
          </a:pPr>
          <a:r>
            <a:rPr lang="en-US" sz="1100">
              <a:solidFill>
                <a:schemeClr val="bg2"/>
              </a:solidFill>
              <a:effectLst/>
              <a:latin typeface="+mn-lt"/>
              <a:ea typeface="+mn-ea"/>
              <a:cs typeface="+mn-cs"/>
            </a:rPr>
            <a:t>County: Please click drop-down arrow on cell B11 to select the county.</a:t>
          </a:r>
          <a:r>
            <a:rPr lang="en-US" sz="1100" baseline="0">
              <a:solidFill>
                <a:schemeClr val="bg2"/>
              </a:solidFill>
              <a:effectLst/>
              <a:latin typeface="+mn-lt"/>
              <a:ea typeface="+mn-ea"/>
              <a:cs typeface="+mn-cs"/>
            </a:rPr>
            <a:t>  </a:t>
          </a:r>
          <a:r>
            <a:rPr lang="en-US" sz="1100">
              <a:solidFill>
                <a:schemeClr val="bg2"/>
              </a:solidFill>
              <a:effectLst/>
              <a:latin typeface="+mn-lt"/>
              <a:ea typeface="+mn-ea"/>
              <a:cs typeface="+mn-cs"/>
            </a:rPr>
            <a:t>If the proposed roadway project is in more than one county then select the county that contains majority of the project area</a:t>
          </a:r>
          <a:endParaRPr lang="en-US" sz="1100">
            <a:solidFill>
              <a:schemeClr val="bg2"/>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Year Open to Traffic?: Must be &gt;=2021.</a:t>
          </a:r>
          <a:r>
            <a:rPr lang="en-US" sz="1100" baseline="0">
              <a:solidFill>
                <a:schemeClr val="bg1"/>
              </a:solidFill>
              <a:effectLst/>
              <a:latin typeface="+mn-lt"/>
              <a:ea typeface="+mn-ea"/>
              <a:cs typeface="+mn-cs"/>
            </a:rPr>
            <a:t> Please click the drop-down arrow on cell B12 to select the year Open to Traffic</a:t>
          </a:r>
          <a:endParaRPr lang="en-US" sz="1100">
            <a:solidFill>
              <a:schemeClr val="bg1"/>
            </a:solidFill>
            <a:effectLst/>
            <a:latin typeface="+mn-lt"/>
            <a:ea typeface="+mn-ea"/>
            <a:cs typeface="+mn-cs"/>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Type of Improvement Project: Please click the drop-down arrow  on cell B13 to select the type of improvement proposed</a:t>
          </a:r>
          <a:endParaRPr lang="en-US" sz="1100">
            <a:solidFill>
              <a:schemeClr val="bg1"/>
            </a:solidFill>
            <a:effectLst/>
          </a:endParaRP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Estimated Daily VMT Reduced</a:t>
          </a:r>
          <a:r>
            <a:rPr lang="en-US" sz="1100" baseline="0">
              <a:solidFill>
                <a:schemeClr val="bg1"/>
              </a:solidFill>
              <a:effectLst/>
              <a:latin typeface="+mn-lt"/>
              <a:ea typeface="+mn-ea"/>
              <a:cs typeface="+mn-cs"/>
            </a:rPr>
            <a:t> in Year Open to Traffic: Based on the parameters of a specific project, this information can be determined via the Activity-Connectivity Explorer (ACE) tool - link to be provided later</a:t>
          </a:r>
          <a:endParaRPr lang="en-US" sz="1100">
            <a:solidFill>
              <a:schemeClr val="bg1"/>
            </a:solidFill>
            <a:effectLst/>
            <a:latin typeface="+mn-lt"/>
            <a:ea typeface="+mn-ea"/>
            <a:cs typeface="+mn-cs"/>
          </a:endParaRPr>
        </a:p>
        <a:p>
          <a:pPr marL="171450" indent="-171450">
            <a:lnSpc>
              <a:spcPct val="150000"/>
            </a:lnSpc>
            <a:buFont typeface="Arial" panose="020B0604020202020204" pitchFamily="34" charset="0"/>
            <a:buChar char="•"/>
          </a:pPr>
          <a:r>
            <a:rPr lang="en-US" sz="1100">
              <a:solidFill>
                <a:schemeClr val="bg1"/>
              </a:solidFill>
              <a:effectLst/>
              <a:latin typeface="+mn-lt"/>
              <a:ea typeface="+mn-ea"/>
              <a:cs typeface="+mn-cs"/>
            </a:rPr>
            <a:t>Daily Travel Demand:</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2020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enter the peak period volume data (6AM – 9AM + 3PM – 7PM) in cell B17 form sponsor collected traffic count data or may request 2018 HGAC’s regional model peak period traffic volumes</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2030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2030 HGAC’s regional model peak period traffic volumes to be entered in cell B18</a:t>
          </a:r>
        </a:p>
        <a:p>
          <a:pPr marL="1085850" lvl="2" indent="-171450">
            <a:lnSpc>
              <a:spcPct val="150000"/>
            </a:lnSpc>
            <a:buFont typeface="Arial" panose="020B0604020202020204" pitchFamily="34" charset="0"/>
            <a:buChar char="•"/>
          </a:pPr>
          <a:r>
            <a:rPr lang="en-US" sz="1100">
              <a:solidFill>
                <a:schemeClr val="bg1"/>
              </a:solidFill>
              <a:effectLst/>
              <a:latin typeface="+mn-lt"/>
              <a:ea typeface="+mn-ea"/>
              <a:cs typeface="+mn-cs"/>
            </a:rPr>
            <a:t>2050 Peak Period Traffic Volume:</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2050 HGAC’s regional model peak period volumes to be entered in cell B19</a:t>
          </a:r>
        </a:p>
        <a:p>
          <a:pPr>
            <a:lnSpc>
              <a:spcPct val="150000"/>
            </a:lnSpc>
          </a:pPr>
          <a:endParaRPr lang="en-US" sz="1100">
            <a:solidFill>
              <a:schemeClr val="bg1"/>
            </a:solidFill>
            <a:effectLst/>
            <a:latin typeface="+mn-lt"/>
            <a:ea typeface="+mn-ea"/>
            <a:cs typeface="+mn-cs"/>
          </a:endParaRPr>
        </a:p>
        <a:p>
          <a:pPr>
            <a:lnSpc>
              <a:spcPct val="150000"/>
            </a:lnSpc>
          </a:pPr>
          <a:r>
            <a:rPr lang="en-US" sz="1100">
              <a:solidFill>
                <a:schemeClr val="bg1"/>
              </a:solidFill>
              <a:effectLst/>
              <a:latin typeface="+mn-lt"/>
              <a:ea typeface="+mn-ea"/>
              <a:cs typeface="+mn-cs"/>
            </a:rPr>
            <a:t>2. Results will be populated in "red" shaded section ("Benefit Results")</a:t>
          </a:r>
          <a:r>
            <a:rPr lang="en-US" sz="1100" baseline="0">
              <a:solidFill>
                <a:schemeClr val="bg1"/>
              </a:solidFill>
              <a:effectLst/>
              <a:latin typeface="+mn-lt"/>
              <a:ea typeface="+mn-ea"/>
              <a:cs typeface="+mn-cs"/>
            </a:rPr>
            <a:t> following successful entry of all input information.</a:t>
          </a:r>
          <a:endParaRPr lang="en-US" sz="1100">
            <a:solidFill>
              <a:schemeClr val="bg1"/>
            </a:solidFill>
            <a:effectLst/>
            <a:latin typeface="+mn-lt"/>
            <a:ea typeface="+mn-ea"/>
            <a:cs typeface="+mn-cs"/>
          </a:endParaRPr>
        </a:p>
        <a:p>
          <a:pPr algn="l" rtl="0">
            <a:defRPr sz="1000"/>
          </a:pPr>
          <a:endParaRPr lang="en-US" sz="1100" b="0" i="0" u="none" strike="noStrike" baseline="0">
            <a:solidFill>
              <a:schemeClr val="bg1"/>
            </a:solidFill>
            <a:latin typeface="Calibri"/>
            <a:cs typeface="Arial"/>
          </a:endParaRPr>
        </a:p>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219076</xdr:colOff>
      <xdr:row>14</xdr:row>
      <xdr:rowOff>0</xdr:rowOff>
    </xdr:from>
    <xdr:to>
      <xdr:col>2</xdr:col>
      <xdr:colOff>1114425</xdr:colOff>
      <xdr:row>14</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19076" y="2114551"/>
          <a:ext cx="5286374"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To the greatest extent possible, these values are taken from or consistent with the "USDOT  Benefit-Cost Analysis Guidance for Discretionary Grant</a:t>
          </a:r>
          <a:r>
            <a:rPr lang="en-US" sz="1100" baseline="0">
              <a:solidFill>
                <a:schemeClr val="dk1"/>
              </a:solidFill>
              <a:effectLst/>
              <a:latin typeface="+mn-lt"/>
              <a:ea typeface="+mn-ea"/>
              <a:cs typeface="+mn-cs"/>
            </a:rPr>
            <a:t> Programs". </a:t>
          </a:r>
          <a:r>
            <a:rPr lang="en-US" sz="1050" baseline="0">
              <a:solidFill>
                <a:schemeClr val="dk1"/>
              </a:solidFill>
              <a:effectLst/>
              <a:latin typeface="+mn-lt"/>
              <a:ea typeface="+mn-ea"/>
              <a:cs typeface="+mn-cs"/>
            </a:rPr>
            <a:t>It can be found online at:https://www.transportation.gov/sites/dot.gov/files/docs/mission/office-policy/transportation-policy/284031/benefit-cost-analysis-guidance-2018_0.pdf</a:t>
          </a:r>
          <a:endParaRPr lang="en-US" sz="1100" baseline="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ortation\Staff\Vishu\Vishu_T\Vishu_Working\2045%20RTP\Call%20for%20projects\TAC-07182018\Final%20BCA%20Tempaltes\Safety%20Benefits\Transit-bikeped%20-%20Safety%20Benefits%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candis\Desktop\Template%20-%20Safety%20Benefits%20Revision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alculations"/>
      <sheetName val="Assumed Values"/>
      <sheetName val="Value of Statistical Life"/>
      <sheetName val="CRASH RATES"/>
      <sheetName val="CRF Lookup Table"/>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TS Delay Worksheet"/>
      <sheetName val="Emissions Reduction Worksheet"/>
      <sheetName val="Inputs &amp; Outputs"/>
      <sheetName val="CRASH"/>
      <sheetName val="Calculations"/>
      <sheetName val="Assumed Values"/>
      <sheetName val="Value of Travel Time"/>
      <sheetName val="Value of Statistical Life"/>
      <sheetName val="Value of Emissions"/>
      <sheetName val="GDP Deflators"/>
      <sheetName val="CRASH SUM"/>
    </sheetNames>
    <sheetDataSet>
      <sheetData sheetId="0" refreshError="1"/>
      <sheetData sheetId="1" refreshError="1"/>
      <sheetData sheetId="2" refreshError="1"/>
      <sheetData sheetId="3" refreshError="1"/>
      <sheetData sheetId="4" refreshError="1"/>
      <sheetData sheetId="5">
        <row r="4">
          <cell r="S4">
            <v>0</v>
          </cell>
        </row>
        <row r="5">
          <cell r="S5" t="e">
            <v>#DIV/0!</v>
          </cell>
        </row>
        <row r="6">
          <cell r="S6" t="e">
            <v>#DIV/0!</v>
          </cell>
        </row>
        <row r="7">
          <cell r="S7" t="e">
            <v>#DIV/0!</v>
          </cell>
        </row>
        <row r="8">
          <cell r="S8" t="e">
            <v>#DIV/0!</v>
          </cell>
        </row>
        <row r="9">
          <cell r="S9" t="e">
            <v>#DIV/0!</v>
          </cell>
        </row>
        <row r="10">
          <cell r="S10" t="e">
            <v>#DIV/0!</v>
          </cell>
        </row>
        <row r="11">
          <cell r="S11" t="e">
            <v>#DIV/0!</v>
          </cell>
        </row>
        <row r="12">
          <cell r="S12" t="e">
            <v>#DIV/0!</v>
          </cell>
        </row>
        <row r="13">
          <cell r="S13" t="e">
            <v>#DIV/0!</v>
          </cell>
        </row>
        <row r="14">
          <cell r="S14" t="e">
            <v>#DIV/0!</v>
          </cell>
        </row>
        <row r="15">
          <cell r="S15" t="e">
            <v>#DIV/0!</v>
          </cell>
        </row>
        <row r="16">
          <cell r="S16" t="e">
            <v>#DIV/0!</v>
          </cell>
        </row>
        <row r="17">
          <cell r="S17" t="e">
            <v>#DIV/0!</v>
          </cell>
        </row>
        <row r="18">
          <cell r="S18" t="e">
            <v>#DIV/0!</v>
          </cell>
        </row>
        <row r="19">
          <cell r="S19" t="e">
            <v>#DIV/0!</v>
          </cell>
        </row>
        <row r="20">
          <cell r="S20" t="e">
            <v>#DIV/0!</v>
          </cell>
        </row>
        <row r="21">
          <cell r="S21" t="e">
            <v>#DIV/0!</v>
          </cell>
        </row>
        <row r="22">
          <cell r="S22" t="e">
            <v>#DIV/0!</v>
          </cell>
        </row>
        <row r="23">
          <cell r="S23" t="e">
            <v>#DIV/0!</v>
          </cell>
        </row>
        <row r="24">
          <cell r="S24" t="e">
            <v>#DIV/0!</v>
          </cell>
        </row>
        <row r="25">
          <cell r="S25" t="e">
            <v>#DIV/0!</v>
          </cell>
        </row>
        <row r="26">
          <cell r="S26" t="e">
            <v>#DIV/0!</v>
          </cell>
        </row>
        <row r="27">
          <cell r="S27" t="e">
            <v>#DIV/0!</v>
          </cell>
        </row>
        <row r="28">
          <cell r="S28" t="e">
            <v>#DIV/0!</v>
          </cell>
        </row>
        <row r="29">
          <cell r="S29" t="e">
            <v>#DIV/0!</v>
          </cell>
        </row>
        <row r="30">
          <cell r="S30" t="e">
            <v>#DIV/0!</v>
          </cell>
        </row>
        <row r="31">
          <cell r="S31" t="e">
            <v>#DIV/0!</v>
          </cell>
        </row>
        <row r="32">
          <cell r="S32" t="e">
            <v>#DIV/0!</v>
          </cell>
        </row>
        <row r="33">
          <cell r="S33" t="e">
            <v>#DIV/0!</v>
          </cell>
        </row>
        <row r="34">
          <cell r="S34" t="e">
            <v>#DIV/0!</v>
          </cell>
        </row>
        <row r="35">
          <cell r="S35" t="e">
            <v>#DIV/0!</v>
          </cell>
        </row>
        <row r="36">
          <cell r="S36" t="e">
            <v>#DIV/0!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ransportation.gov/sites/dot.gov/files/2021-02/Benefit%20Cost%20Analysis%20Guidance%202021.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5" x14ac:dyDescent="0.2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x14ac:dyDescent="0.25">
      <c r="A3" s="7" t="s">
        <v>0</v>
      </c>
      <c r="D3" s="7" t="s">
        <v>18</v>
      </c>
      <c r="E3" s="8" t="s">
        <v>9</v>
      </c>
      <c r="G3" s="14" t="s">
        <v>13</v>
      </c>
      <c r="H3" s="14"/>
      <c r="I3" s="14" t="s">
        <v>19</v>
      </c>
      <c r="J3" s="14" t="s">
        <v>41</v>
      </c>
    </row>
    <row r="4" spans="1:10" x14ac:dyDescent="0.25">
      <c r="A4" s="5" t="s">
        <v>5</v>
      </c>
      <c r="B4" s="6"/>
      <c r="D4" s="5" t="s">
        <v>38</v>
      </c>
      <c r="E4" s="43">
        <v>2015</v>
      </c>
      <c r="G4" s="12">
        <f>E4</f>
        <v>2015</v>
      </c>
      <c r="H4" s="12">
        <f>IF(G4&lt;2041,1,0)</f>
        <v>1</v>
      </c>
      <c r="I4" s="21">
        <f>IF($G4&lt;($G$4+$E$5),$E$17,0)*H4</f>
        <v>0</v>
      </c>
      <c r="J4" s="32" t="e">
        <f>I4*$B$18*$B$19/10^3</f>
        <v>#REF!</v>
      </c>
    </row>
    <row r="5" spans="1:10" x14ac:dyDescent="0.25">
      <c r="A5" s="5" t="s">
        <v>6</v>
      </c>
      <c r="B5" s="6"/>
      <c r="D5" s="5" t="s">
        <v>28</v>
      </c>
      <c r="E5" s="9">
        <v>10</v>
      </c>
      <c r="G5" s="13">
        <f t="shared" ref="G5:G29" si="0">G4+1</f>
        <v>2016</v>
      </c>
      <c r="H5" s="13">
        <f t="shared" ref="H5:H29" si="1">IF(G5&lt;2041,1,0)</f>
        <v>1</v>
      </c>
      <c r="I5" s="21">
        <f t="shared" ref="I5:I29" si="2">IF($G5&lt;($G$4+$E$5),$E$17,0)*H5</f>
        <v>0</v>
      </c>
      <c r="J5" s="39" t="e">
        <f t="shared" ref="J5:J24" si="3">I5*$B$18*$B$19/10^3</f>
        <v>#REF!</v>
      </c>
    </row>
    <row r="6" spans="1:10" x14ac:dyDescent="0.25">
      <c r="A6" s="5" t="s">
        <v>7</v>
      </c>
      <c r="B6" s="6">
        <v>1</v>
      </c>
      <c r="D6" s="139" t="s">
        <v>26</v>
      </c>
      <c r="E6" s="140"/>
      <c r="G6" s="12">
        <f t="shared" si="0"/>
        <v>2017</v>
      </c>
      <c r="H6" s="12">
        <f t="shared" si="1"/>
        <v>1</v>
      </c>
      <c r="I6" s="21">
        <f t="shared" si="2"/>
        <v>0</v>
      </c>
      <c r="J6" s="32" t="e">
        <f t="shared" si="3"/>
        <v>#REF!</v>
      </c>
    </row>
    <row r="7" spans="1:10" x14ac:dyDescent="0.25">
      <c r="A7" s="5" t="s">
        <v>39</v>
      </c>
      <c r="B7" s="23"/>
      <c r="D7" s="5" t="s">
        <v>36</v>
      </c>
      <c r="E7" s="9"/>
      <c r="G7" s="13">
        <f t="shared" si="0"/>
        <v>2018</v>
      </c>
      <c r="H7" s="13">
        <f t="shared" si="1"/>
        <v>1</v>
      </c>
      <c r="I7" s="21">
        <f t="shared" si="2"/>
        <v>0</v>
      </c>
      <c r="J7" s="39" t="e">
        <f t="shared" si="3"/>
        <v>#REF!</v>
      </c>
    </row>
    <row r="8" spans="1:10" x14ac:dyDescent="0.25">
      <c r="A8" s="22" t="s">
        <v>40</v>
      </c>
      <c r="B8" s="23"/>
      <c r="D8" s="5" t="s">
        <v>34</v>
      </c>
      <c r="E8" s="42">
        <v>1.1499999999999999</v>
      </c>
      <c r="G8" s="12">
        <f t="shared" si="0"/>
        <v>2019</v>
      </c>
      <c r="H8" s="12">
        <f t="shared" si="1"/>
        <v>1</v>
      </c>
      <c r="I8" s="21">
        <f t="shared" si="2"/>
        <v>0</v>
      </c>
      <c r="J8" s="32" t="e">
        <f t="shared" si="3"/>
        <v>#REF!</v>
      </c>
    </row>
    <row r="9" spans="1:10" x14ac:dyDescent="0.25">
      <c r="G9" s="13">
        <f t="shared" si="0"/>
        <v>2020</v>
      </c>
      <c r="H9" s="13">
        <f t="shared" si="1"/>
        <v>1</v>
      </c>
      <c r="I9" s="21">
        <f t="shared" si="2"/>
        <v>0</v>
      </c>
      <c r="J9" s="39" t="e">
        <f t="shared" si="3"/>
        <v>#REF!</v>
      </c>
    </row>
    <row r="10" spans="1:10" x14ac:dyDescent="0.25">
      <c r="A10" s="11" t="s">
        <v>17</v>
      </c>
      <c r="G10" s="12">
        <f t="shared" si="0"/>
        <v>2021</v>
      </c>
      <c r="H10" s="12">
        <f t="shared" si="1"/>
        <v>1</v>
      </c>
      <c r="I10" s="21">
        <f t="shared" si="2"/>
        <v>0</v>
      </c>
      <c r="J10" s="32" t="e">
        <f t="shared" si="3"/>
        <v>#REF!</v>
      </c>
    </row>
    <row r="11" spans="1:10" x14ac:dyDescent="0.25">
      <c r="A11" s="10" t="s">
        <v>37</v>
      </c>
      <c r="B11" s="40" t="e">
        <f>NPV($B$17,J4:J29)/(1+$B$17)^(E4-B16+1)</f>
        <v>#REF!</v>
      </c>
      <c r="G11" s="13">
        <f t="shared" si="0"/>
        <v>2022</v>
      </c>
      <c r="H11" s="13">
        <f t="shared" si="1"/>
        <v>1</v>
      </c>
      <c r="I11" s="21">
        <f t="shared" si="2"/>
        <v>0</v>
      </c>
      <c r="J11" s="39" t="e">
        <f t="shared" si="3"/>
        <v>#REF!</v>
      </c>
    </row>
    <row r="12" spans="1:10" x14ac:dyDescent="0.25">
      <c r="A12" s="10" t="s">
        <v>16</v>
      </c>
      <c r="B12" s="38" t="e">
        <f>B11/B7</f>
        <v>#REF!</v>
      </c>
      <c r="G12" s="12">
        <f t="shared" si="0"/>
        <v>2023</v>
      </c>
      <c r="H12" s="12">
        <f t="shared" si="1"/>
        <v>1</v>
      </c>
      <c r="I12" s="21">
        <f t="shared" si="2"/>
        <v>0</v>
      </c>
      <c r="J12" s="32" t="e">
        <f t="shared" si="3"/>
        <v>#REF!</v>
      </c>
    </row>
    <row r="13" spans="1:10" x14ac:dyDescent="0.25">
      <c r="G13" s="13">
        <f t="shared" si="0"/>
        <v>2024</v>
      </c>
      <c r="H13" s="13">
        <f t="shared" si="1"/>
        <v>1</v>
      </c>
      <c r="I13" s="21">
        <f t="shared" si="2"/>
        <v>0</v>
      </c>
      <c r="J13" s="39" t="e">
        <f t="shared" si="3"/>
        <v>#REF!</v>
      </c>
    </row>
    <row r="14" spans="1:10" x14ac:dyDescent="0.25">
      <c r="G14" s="12">
        <f>G13+1</f>
        <v>2025</v>
      </c>
      <c r="H14" s="12">
        <f t="shared" si="1"/>
        <v>1</v>
      </c>
      <c r="I14" s="21">
        <f t="shared" si="2"/>
        <v>0</v>
      </c>
      <c r="J14" s="32" t="e">
        <f t="shared" si="3"/>
        <v>#REF!</v>
      </c>
    </row>
    <row r="15" spans="1:10" x14ac:dyDescent="0.25">
      <c r="A15" s="15" t="s">
        <v>1</v>
      </c>
      <c r="G15" s="13">
        <f t="shared" si="0"/>
        <v>2026</v>
      </c>
      <c r="H15" s="13">
        <f t="shared" si="1"/>
        <v>1</v>
      </c>
      <c r="I15" s="21">
        <f t="shared" si="2"/>
        <v>0</v>
      </c>
      <c r="J15" s="39" t="e">
        <f t="shared" si="3"/>
        <v>#REF!</v>
      </c>
    </row>
    <row r="16" spans="1:10" x14ac:dyDescent="0.25">
      <c r="A16" s="16" t="s">
        <v>2</v>
      </c>
      <c r="B16" s="26" t="e">
        <f>'Assumed Values'!#REF!</f>
        <v>#REF!</v>
      </c>
      <c r="D16" s="15" t="s">
        <v>14</v>
      </c>
      <c r="E16" s="24" t="s">
        <v>9</v>
      </c>
      <c r="G16" s="12">
        <f t="shared" si="0"/>
        <v>2027</v>
      </c>
      <c r="H16" s="12">
        <f t="shared" si="1"/>
        <v>1</v>
      </c>
      <c r="I16" s="21">
        <f t="shared" si="2"/>
        <v>0</v>
      </c>
      <c r="J16" s="32" t="e">
        <f t="shared" si="3"/>
        <v>#REF!</v>
      </c>
    </row>
    <row r="17" spans="1:10" x14ac:dyDescent="0.25">
      <c r="A17" s="16" t="s">
        <v>3</v>
      </c>
      <c r="B17" s="17" t="e">
        <f>'Assumed Values'!#REF!</f>
        <v>#REF!</v>
      </c>
      <c r="D17" s="19" t="s">
        <v>35</v>
      </c>
      <c r="E17" s="20">
        <f>E7/E8</f>
        <v>0</v>
      </c>
      <c r="G17" s="13">
        <f t="shared" si="0"/>
        <v>2028</v>
      </c>
      <c r="H17" s="13">
        <f t="shared" si="1"/>
        <v>1</v>
      </c>
      <c r="I17" s="21">
        <f t="shared" si="2"/>
        <v>0</v>
      </c>
      <c r="J17" s="39" t="e">
        <f t="shared" si="3"/>
        <v>#REF!</v>
      </c>
    </row>
    <row r="18" spans="1:10" x14ac:dyDescent="0.25">
      <c r="A18" s="16" t="s">
        <v>4</v>
      </c>
      <c r="B18" s="16">
        <f>IF(B6=2,2.1, 1.1)</f>
        <v>1.1000000000000001</v>
      </c>
      <c r="G18" s="12">
        <f t="shared" si="0"/>
        <v>2029</v>
      </c>
      <c r="H18" s="12">
        <f t="shared" si="1"/>
        <v>1</v>
      </c>
      <c r="I18" s="21">
        <f t="shared" si="2"/>
        <v>0</v>
      </c>
      <c r="J18" s="32" t="e">
        <f t="shared" si="3"/>
        <v>#REF!</v>
      </c>
    </row>
    <row r="19" spans="1:10" x14ac:dyDescent="0.25">
      <c r="A19" s="16" t="s">
        <v>8</v>
      </c>
      <c r="B19" s="18" t="e">
        <f>'Assumed Values'!#REF!</f>
        <v>#REF!</v>
      </c>
      <c r="G19" s="13">
        <f t="shared" si="0"/>
        <v>2030</v>
      </c>
      <c r="H19" s="13">
        <f t="shared" si="1"/>
        <v>1</v>
      </c>
      <c r="I19" s="21">
        <f t="shared" si="2"/>
        <v>0</v>
      </c>
      <c r="J19" s="39" t="e">
        <f t="shared" si="3"/>
        <v>#REF!</v>
      </c>
    </row>
    <row r="20" spans="1:10" x14ac:dyDescent="0.25">
      <c r="A20" s="16" t="s">
        <v>15</v>
      </c>
      <c r="B20" s="16">
        <v>260</v>
      </c>
      <c r="G20" s="12">
        <f t="shared" si="0"/>
        <v>2031</v>
      </c>
      <c r="H20" s="12">
        <f t="shared" si="1"/>
        <v>1</v>
      </c>
      <c r="I20" s="21">
        <f t="shared" si="2"/>
        <v>0</v>
      </c>
      <c r="J20" s="32" t="e">
        <f t="shared" si="3"/>
        <v>#REF!</v>
      </c>
    </row>
    <row r="21" spans="1:10" x14ac:dyDescent="0.25">
      <c r="G21" s="13">
        <f t="shared" si="0"/>
        <v>2032</v>
      </c>
      <c r="H21" s="13">
        <f t="shared" si="1"/>
        <v>1</v>
      </c>
      <c r="I21" s="21">
        <f t="shared" si="2"/>
        <v>0</v>
      </c>
      <c r="J21" s="39" t="e">
        <f t="shared" si="3"/>
        <v>#REF!</v>
      </c>
    </row>
    <row r="22" spans="1:10" x14ac:dyDescent="0.25">
      <c r="G22" s="12">
        <f t="shared" si="0"/>
        <v>2033</v>
      </c>
      <c r="H22" s="12">
        <f t="shared" si="1"/>
        <v>1</v>
      </c>
      <c r="I22" s="21">
        <f t="shared" si="2"/>
        <v>0</v>
      </c>
      <c r="J22" s="32" t="e">
        <f t="shared" si="3"/>
        <v>#REF!</v>
      </c>
    </row>
    <row r="23" spans="1:10" x14ac:dyDescent="0.25">
      <c r="G23" s="13">
        <f t="shared" si="0"/>
        <v>2034</v>
      </c>
      <c r="H23" s="13">
        <f t="shared" si="1"/>
        <v>1</v>
      </c>
      <c r="I23" s="21">
        <f t="shared" si="2"/>
        <v>0</v>
      </c>
      <c r="J23" s="39" t="e">
        <f t="shared" si="3"/>
        <v>#REF!</v>
      </c>
    </row>
    <row r="24" spans="1:10" x14ac:dyDescent="0.25">
      <c r="G24" s="12">
        <f t="shared" si="0"/>
        <v>2035</v>
      </c>
      <c r="H24" s="12">
        <f t="shared" si="1"/>
        <v>1</v>
      </c>
      <c r="I24" s="21">
        <f t="shared" si="2"/>
        <v>0</v>
      </c>
      <c r="J24" s="32" t="e">
        <f t="shared" si="3"/>
        <v>#REF!</v>
      </c>
    </row>
    <row r="25" spans="1:10" x14ac:dyDescent="0.25">
      <c r="G25" s="13">
        <f t="shared" si="0"/>
        <v>2036</v>
      </c>
      <c r="H25" s="13">
        <f t="shared" si="1"/>
        <v>1</v>
      </c>
      <c r="I25" s="21">
        <f t="shared" si="2"/>
        <v>0</v>
      </c>
      <c r="J25" s="39" t="e">
        <f t="shared" ref="J25:J29" si="4">I25*$B$18*$B$19/10^3</f>
        <v>#REF!</v>
      </c>
    </row>
    <row r="26" spans="1:10" x14ac:dyDescent="0.25">
      <c r="G26" s="12">
        <f t="shared" si="0"/>
        <v>2037</v>
      </c>
      <c r="H26" s="12">
        <f t="shared" si="1"/>
        <v>1</v>
      </c>
      <c r="I26" s="21">
        <f t="shared" si="2"/>
        <v>0</v>
      </c>
      <c r="J26" s="32" t="e">
        <f t="shared" si="4"/>
        <v>#REF!</v>
      </c>
    </row>
    <row r="27" spans="1:10" x14ac:dyDescent="0.25">
      <c r="G27" s="13">
        <f t="shared" si="0"/>
        <v>2038</v>
      </c>
      <c r="H27" s="13">
        <f t="shared" si="1"/>
        <v>1</v>
      </c>
      <c r="I27" s="21">
        <f t="shared" si="2"/>
        <v>0</v>
      </c>
      <c r="J27" s="39" t="e">
        <f t="shared" si="4"/>
        <v>#REF!</v>
      </c>
    </row>
    <row r="28" spans="1:10" x14ac:dyDescent="0.25">
      <c r="G28" s="12">
        <f t="shared" si="0"/>
        <v>2039</v>
      </c>
      <c r="H28" s="12">
        <f t="shared" si="1"/>
        <v>1</v>
      </c>
      <c r="I28" s="21">
        <f t="shared" si="2"/>
        <v>0</v>
      </c>
      <c r="J28" s="32" t="e">
        <f t="shared" si="4"/>
        <v>#REF!</v>
      </c>
    </row>
    <row r="29" spans="1:10" x14ac:dyDescent="0.25">
      <c r="A29" s="25"/>
      <c r="G29" s="13">
        <f t="shared" si="0"/>
        <v>2040</v>
      </c>
      <c r="H29" s="13">
        <f t="shared" si="1"/>
        <v>1</v>
      </c>
      <c r="I29" s="21">
        <f t="shared" si="2"/>
        <v>0</v>
      </c>
      <c r="J29" s="39" t="e">
        <f t="shared" si="4"/>
        <v>#REF!</v>
      </c>
    </row>
    <row r="51" spans="1:1" x14ac:dyDescent="0.25">
      <c r="A51" t="s">
        <v>10</v>
      </c>
    </row>
    <row r="52" spans="1:1" x14ac:dyDescent="0.25">
      <c r="A52" s="4" t="s">
        <v>12</v>
      </c>
    </row>
    <row r="53" spans="1:1" x14ac:dyDescent="0.25">
      <c r="A53" s="4" t="s">
        <v>11</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28B5-6DF8-4C34-BAAC-C90A53ADADB0}">
  <sheetPr codeName="Sheet10">
    <tabColor theme="1" tint="4.9989318521683403E-2"/>
  </sheetPr>
  <dimension ref="C2:D11"/>
  <sheetViews>
    <sheetView zoomScale="145" zoomScaleNormal="145" workbookViewId="0">
      <selection activeCell="C15" sqref="C15"/>
    </sheetView>
  </sheetViews>
  <sheetFormatPr defaultRowHeight="15" x14ac:dyDescent="0.25"/>
  <cols>
    <col min="3" max="3" width="34.7109375" bestFit="1" customWidth="1"/>
    <col min="4" max="4" width="18" style="78" bestFit="1" customWidth="1"/>
    <col min="5" max="6" width="12.85546875" customWidth="1"/>
  </cols>
  <sheetData>
    <row r="2" spans="3:4" ht="15.75" thickBot="1" x14ac:dyDescent="0.3"/>
    <row r="3" spans="3:4" x14ac:dyDescent="0.25">
      <c r="C3" s="96" t="s">
        <v>78</v>
      </c>
      <c r="D3" s="102" t="s">
        <v>139</v>
      </c>
    </row>
    <row r="4" spans="3:4" s="78" customFormat="1" x14ac:dyDescent="0.25">
      <c r="C4" s="100"/>
      <c r="D4" s="103"/>
    </row>
    <row r="5" spans="3:4" x14ac:dyDescent="0.25">
      <c r="C5" s="99" t="s">
        <v>103</v>
      </c>
      <c r="D5" s="97">
        <v>10</v>
      </c>
    </row>
    <row r="6" spans="3:4" x14ac:dyDescent="0.25">
      <c r="C6" s="99" t="s">
        <v>102</v>
      </c>
      <c r="D6" s="97">
        <v>10</v>
      </c>
    </row>
    <row r="7" spans="3:4" x14ac:dyDescent="0.25">
      <c r="C7" s="99" t="s">
        <v>96</v>
      </c>
      <c r="D7" s="97">
        <v>10</v>
      </c>
    </row>
    <row r="8" spans="3:4" x14ac:dyDescent="0.25">
      <c r="C8" s="99" t="s">
        <v>104</v>
      </c>
      <c r="D8" s="97">
        <v>20</v>
      </c>
    </row>
    <row r="9" spans="3:4" x14ac:dyDescent="0.25">
      <c r="C9" s="99" t="s">
        <v>105</v>
      </c>
      <c r="D9" s="97">
        <v>20</v>
      </c>
    </row>
    <row r="10" spans="3:4" s="78" customFormat="1" x14ac:dyDescent="0.25">
      <c r="C10" s="99" t="s">
        <v>106</v>
      </c>
      <c r="D10" s="97">
        <v>20</v>
      </c>
    </row>
    <row r="11" spans="3:4" ht="15.75" thickBot="1" x14ac:dyDescent="0.3">
      <c r="C11" s="101" t="s">
        <v>97</v>
      </c>
      <c r="D11" s="98">
        <v>30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5" x14ac:dyDescent="0.2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x14ac:dyDescent="0.25">
      <c r="A3" s="7" t="s">
        <v>0</v>
      </c>
      <c r="D3" s="7" t="s">
        <v>24</v>
      </c>
      <c r="E3" s="8" t="s">
        <v>9</v>
      </c>
      <c r="G3" s="14" t="s">
        <v>13</v>
      </c>
      <c r="H3" s="14" t="s">
        <v>33</v>
      </c>
      <c r="I3" s="14" t="s">
        <v>42</v>
      </c>
      <c r="J3" s="14" t="s">
        <v>32</v>
      </c>
      <c r="K3" s="14" t="s">
        <v>43</v>
      </c>
    </row>
    <row r="4" spans="1:11" x14ac:dyDescent="0.25">
      <c r="A4" s="5" t="s">
        <v>5</v>
      </c>
      <c r="B4" s="6"/>
      <c r="D4" s="5" t="s">
        <v>38</v>
      </c>
      <c r="E4" s="43">
        <v>2015</v>
      </c>
      <c r="G4" s="12">
        <f>E4</f>
        <v>2015</v>
      </c>
      <c r="H4" s="35" t="e">
        <f t="shared" ref="H4:H24" si="0">IF($G4&lt;($G$4+$E$5),$E$17,0)</f>
        <v>#N/A</v>
      </c>
      <c r="I4" s="34" t="e">
        <f>H4*$B$20/10^3</f>
        <v>#N/A</v>
      </c>
      <c r="J4" s="35" t="e">
        <f t="shared" ref="J4:J24" si="1">IF($G4&lt;($G$4+$E$5),$E$18,0)</f>
        <v>#N/A</v>
      </c>
      <c r="K4" s="34" t="e">
        <f>J4*$B$21/10^3</f>
        <v>#N/A</v>
      </c>
    </row>
    <row r="5" spans="1:11" x14ac:dyDescent="0.25">
      <c r="A5" s="5" t="s">
        <v>6</v>
      </c>
      <c r="B5" s="6"/>
      <c r="D5" s="5" t="s">
        <v>28</v>
      </c>
      <c r="E5" s="9">
        <v>10</v>
      </c>
      <c r="G5" s="13">
        <f t="shared" ref="G5:G29" si="2">G4+1</f>
        <v>2016</v>
      </c>
      <c r="H5" s="35" t="e">
        <f t="shared" si="0"/>
        <v>#N/A</v>
      </c>
      <c r="I5" s="36" t="e">
        <f t="shared" ref="I5:I24" si="3">H5*$B$20/10^3</f>
        <v>#N/A</v>
      </c>
      <c r="J5" s="35" t="e">
        <f t="shared" si="1"/>
        <v>#N/A</v>
      </c>
      <c r="K5" s="36" t="e">
        <f t="shared" ref="K5:K24" si="4">J5*$B$21/10^3</f>
        <v>#N/A</v>
      </c>
    </row>
    <row r="6" spans="1:11" x14ac:dyDescent="0.25">
      <c r="A6" s="5" t="s">
        <v>29</v>
      </c>
      <c r="B6" s="6">
        <v>2</v>
      </c>
      <c r="D6" s="139" t="s">
        <v>26</v>
      </c>
      <c r="E6" s="140"/>
      <c r="G6" s="12">
        <f t="shared" si="2"/>
        <v>2017</v>
      </c>
      <c r="H6" s="35" t="e">
        <f t="shared" si="0"/>
        <v>#N/A</v>
      </c>
      <c r="I6" s="34" t="e">
        <f t="shared" si="3"/>
        <v>#N/A</v>
      </c>
      <c r="J6" s="35" t="e">
        <f t="shared" si="1"/>
        <v>#N/A</v>
      </c>
      <c r="K6" s="34" t="e">
        <f t="shared" si="4"/>
        <v>#N/A</v>
      </c>
    </row>
    <row r="7" spans="1:11" x14ac:dyDescent="0.25">
      <c r="A7" s="5" t="s">
        <v>39</v>
      </c>
      <c r="B7" s="23"/>
      <c r="D7" s="5" t="s">
        <v>25</v>
      </c>
      <c r="E7" s="9"/>
      <c r="G7" s="13">
        <f t="shared" si="2"/>
        <v>2018</v>
      </c>
      <c r="H7" s="35" t="e">
        <f t="shared" si="0"/>
        <v>#N/A</v>
      </c>
      <c r="I7" s="36" t="e">
        <f t="shared" si="3"/>
        <v>#N/A</v>
      </c>
      <c r="J7" s="35" t="e">
        <f t="shared" si="1"/>
        <v>#N/A</v>
      </c>
      <c r="K7" s="36" t="e">
        <f t="shared" si="4"/>
        <v>#N/A</v>
      </c>
    </row>
    <row r="8" spans="1:11" x14ac:dyDescent="0.25">
      <c r="A8" s="22" t="s">
        <v>40</v>
      </c>
      <c r="B8" s="23"/>
      <c r="D8" s="139" t="s">
        <v>27</v>
      </c>
      <c r="E8" s="140"/>
      <c r="G8" s="12">
        <f t="shared" si="2"/>
        <v>2019</v>
      </c>
      <c r="H8" s="35" t="e">
        <f t="shared" si="0"/>
        <v>#N/A</v>
      </c>
      <c r="I8" s="34" t="e">
        <f t="shared" si="3"/>
        <v>#N/A</v>
      </c>
      <c r="J8" s="35" t="e">
        <f t="shared" si="1"/>
        <v>#N/A</v>
      </c>
      <c r="K8" s="34" t="e">
        <f t="shared" si="4"/>
        <v>#N/A</v>
      </c>
    </row>
    <row r="9" spans="1:11" x14ac:dyDescent="0.25">
      <c r="D9" s="5" t="s">
        <v>30</v>
      </c>
      <c r="E9" s="9"/>
      <c r="G9" s="13">
        <f t="shared" si="2"/>
        <v>2020</v>
      </c>
      <c r="H9" s="35" t="e">
        <f t="shared" si="0"/>
        <v>#N/A</v>
      </c>
      <c r="I9" s="36" t="e">
        <f t="shared" si="3"/>
        <v>#N/A</v>
      </c>
      <c r="J9" s="35" t="e">
        <f t="shared" si="1"/>
        <v>#N/A</v>
      </c>
      <c r="K9" s="36" t="e">
        <f t="shared" si="4"/>
        <v>#N/A</v>
      </c>
    </row>
    <row r="10" spans="1:11" x14ac:dyDescent="0.25">
      <c r="A10" s="11" t="s">
        <v>17</v>
      </c>
      <c r="D10" s="5" t="s">
        <v>31</v>
      </c>
      <c r="E10" s="9"/>
      <c r="G10" s="12">
        <f t="shared" si="2"/>
        <v>2021</v>
      </c>
      <c r="H10" s="35" t="e">
        <f t="shared" si="0"/>
        <v>#N/A</v>
      </c>
      <c r="I10" s="34" t="e">
        <f t="shared" si="3"/>
        <v>#N/A</v>
      </c>
      <c r="J10" s="35" t="e">
        <f t="shared" si="1"/>
        <v>#N/A</v>
      </c>
      <c r="K10" s="34" t="e">
        <f t="shared" si="4"/>
        <v>#N/A</v>
      </c>
    </row>
    <row r="11" spans="1:11" x14ac:dyDescent="0.25">
      <c r="A11" s="10" t="s">
        <v>44</v>
      </c>
      <c r="B11" s="37" t="e">
        <f>(NPV($B$17,K4:K24)+NPV($B$17,I4:I24))/(1+$B$17)^2</f>
        <v>#N/A</v>
      </c>
      <c r="G11" s="13">
        <f t="shared" si="2"/>
        <v>2022</v>
      </c>
      <c r="H11" s="35" t="e">
        <f t="shared" si="0"/>
        <v>#N/A</v>
      </c>
      <c r="I11" s="36" t="e">
        <f t="shared" si="3"/>
        <v>#N/A</v>
      </c>
      <c r="J11" s="35" t="e">
        <f t="shared" si="1"/>
        <v>#N/A</v>
      </c>
      <c r="K11" s="36" t="e">
        <f t="shared" si="4"/>
        <v>#N/A</v>
      </c>
    </row>
    <row r="12" spans="1:11" x14ac:dyDescent="0.25">
      <c r="A12" s="10" t="s">
        <v>16</v>
      </c>
      <c r="B12" s="38" t="e">
        <f>B11/B7</f>
        <v>#N/A</v>
      </c>
      <c r="G12" s="12">
        <f t="shared" si="2"/>
        <v>2023</v>
      </c>
      <c r="H12" s="35" t="e">
        <f t="shared" si="0"/>
        <v>#N/A</v>
      </c>
      <c r="I12" s="34" t="e">
        <f t="shared" si="3"/>
        <v>#N/A</v>
      </c>
      <c r="J12" s="35" t="e">
        <f t="shared" si="1"/>
        <v>#N/A</v>
      </c>
      <c r="K12" s="34" t="e">
        <f t="shared" si="4"/>
        <v>#N/A</v>
      </c>
    </row>
    <row r="13" spans="1:11" x14ac:dyDescent="0.25">
      <c r="A13" s="10" t="s">
        <v>45</v>
      </c>
      <c r="B13" s="37" t="e">
        <f>B7*(B17/(1-(1+B17)^(-E5))/(SUM(H4:H29)+SUM(J4:J29)))</f>
        <v>#N/A</v>
      </c>
      <c r="G13" s="13">
        <f t="shared" si="2"/>
        <v>2024</v>
      </c>
      <c r="H13" s="35" t="e">
        <f t="shared" si="0"/>
        <v>#N/A</v>
      </c>
      <c r="I13" s="36" t="e">
        <f t="shared" si="3"/>
        <v>#N/A</v>
      </c>
      <c r="J13" s="35" t="e">
        <f t="shared" si="1"/>
        <v>#N/A</v>
      </c>
      <c r="K13" s="36" t="e">
        <f t="shared" si="4"/>
        <v>#N/A</v>
      </c>
    </row>
    <row r="14" spans="1:11" x14ac:dyDescent="0.25">
      <c r="G14" s="12">
        <f>G13+1</f>
        <v>2025</v>
      </c>
      <c r="H14" s="35">
        <f t="shared" si="0"/>
        <v>0</v>
      </c>
      <c r="I14" s="34" t="e">
        <f t="shared" si="3"/>
        <v>#REF!</v>
      </c>
      <c r="J14" s="35">
        <f t="shared" si="1"/>
        <v>0</v>
      </c>
      <c r="K14" s="34" t="e">
        <f t="shared" si="4"/>
        <v>#REF!</v>
      </c>
    </row>
    <row r="15" spans="1:11" x14ac:dyDescent="0.25">
      <c r="A15" s="15" t="s">
        <v>1</v>
      </c>
      <c r="G15" s="13">
        <f t="shared" si="2"/>
        <v>2026</v>
      </c>
      <c r="H15" s="35">
        <f t="shared" si="0"/>
        <v>0</v>
      </c>
      <c r="I15" s="36" t="e">
        <f t="shared" si="3"/>
        <v>#REF!</v>
      </c>
      <c r="J15" s="35">
        <f t="shared" si="1"/>
        <v>0</v>
      </c>
      <c r="K15" s="36" t="e">
        <f t="shared" si="4"/>
        <v>#REF!</v>
      </c>
    </row>
    <row r="16" spans="1:11" x14ac:dyDescent="0.25">
      <c r="A16" s="16" t="s">
        <v>2</v>
      </c>
      <c r="B16" s="26">
        <v>2015</v>
      </c>
      <c r="D16" s="15" t="s">
        <v>14</v>
      </c>
      <c r="E16" s="24" t="s">
        <v>9</v>
      </c>
      <c r="G16" s="12">
        <f t="shared" si="2"/>
        <v>2027</v>
      </c>
      <c r="H16" s="35">
        <f t="shared" si="0"/>
        <v>0</v>
      </c>
      <c r="I16" s="34" t="e">
        <f t="shared" si="3"/>
        <v>#REF!</v>
      </c>
      <c r="J16" s="35">
        <f t="shared" si="1"/>
        <v>0</v>
      </c>
      <c r="K16" s="34" t="e">
        <f t="shared" si="4"/>
        <v>#REF!</v>
      </c>
    </row>
    <row r="17" spans="1:11" x14ac:dyDescent="0.25">
      <c r="A17" s="16" t="s">
        <v>3</v>
      </c>
      <c r="B17" s="17">
        <v>7.0000000000000007E-2</v>
      </c>
      <c r="D17" s="19" t="s">
        <v>30</v>
      </c>
      <c r="E17" s="31" t="e">
        <f>IF(E9,E9,$E$7*B18*$B$22/10^6)</f>
        <v>#N/A</v>
      </c>
      <c r="G17" s="13">
        <f t="shared" si="2"/>
        <v>2028</v>
      </c>
      <c r="H17" s="35">
        <f t="shared" si="0"/>
        <v>0</v>
      </c>
      <c r="I17" s="36" t="e">
        <f t="shared" si="3"/>
        <v>#REF!</v>
      </c>
      <c r="J17" s="35">
        <f t="shared" si="1"/>
        <v>0</v>
      </c>
      <c r="K17" s="36" t="e">
        <f t="shared" si="4"/>
        <v>#REF!</v>
      </c>
    </row>
    <row r="18" spans="1:11" x14ac:dyDescent="0.25">
      <c r="A18" s="16" t="s">
        <v>22</v>
      </c>
      <c r="B18" s="41" t="e">
        <f>IF($B$6=2,'Assumed Values'!C5,0)</f>
        <v>#N/A</v>
      </c>
      <c r="D18" s="19" t="s">
        <v>31</v>
      </c>
      <c r="E18" s="31" t="e">
        <f>IF(E10,E10,$E$7*B19*$B$22/10^6)</f>
        <v>#N/A</v>
      </c>
      <c r="G18" s="12">
        <f t="shared" si="2"/>
        <v>2029</v>
      </c>
      <c r="H18" s="35">
        <f t="shared" si="0"/>
        <v>0</v>
      </c>
      <c r="I18" s="34" t="e">
        <f t="shared" si="3"/>
        <v>#REF!</v>
      </c>
      <c r="J18" s="35">
        <f t="shared" si="1"/>
        <v>0</v>
      </c>
      <c r="K18" s="34" t="e">
        <f t="shared" si="4"/>
        <v>#REF!</v>
      </c>
    </row>
    <row r="19" spans="1:11" x14ac:dyDescent="0.25">
      <c r="A19" s="16" t="s">
        <v>23</v>
      </c>
      <c r="B19" s="41" t="e">
        <f>IF($B$6=2,'Assumed Values'!C6,0)</f>
        <v>#N/A</v>
      </c>
      <c r="G19" s="13">
        <f t="shared" si="2"/>
        <v>2030</v>
      </c>
      <c r="H19" s="35">
        <f t="shared" si="0"/>
        <v>0</v>
      </c>
      <c r="I19" s="36" t="e">
        <f t="shared" si="3"/>
        <v>#REF!</v>
      </c>
      <c r="J19" s="35">
        <f t="shared" si="1"/>
        <v>0</v>
      </c>
      <c r="K19" s="36" t="e">
        <f t="shared" si="4"/>
        <v>#REF!</v>
      </c>
    </row>
    <row r="20" spans="1:11" x14ac:dyDescent="0.25">
      <c r="A20" s="16" t="s">
        <v>46</v>
      </c>
      <c r="B20" s="33" t="e">
        <f>'Assumed Values'!#REF!</f>
        <v>#REF!</v>
      </c>
      <c r="G20" s="12">
        <f t="shared" si="2"/>
        <v>2031</v>
      </c>
      <c r="H20" s="35">
        <f t="shared" si="0"/>
        <v>0</v>
      </c>
      <c r="I20" s="34" t="e">
        <f t="shared" si="3"/>
        <v>#REF!</v>
      </c>
      <c r="J20" s="35">
        <f t="shared" si="1"/>
        <v>0</v>
      </c>
      <c r="K20" s="34" t="e">
        <f t="shared" si="4"/>
        <v>#REF!</v>
      </c>
    </row>
    <row r="21" spans="1:11" x14ac:dyDescent="0.25">
      <c r="A21" s="16" t="s">
        <v>47</v>
      </c>
      <c r="B21" s="33" t="e">
        <f>'Assumed Values'!#REF!</f>
        <v>#REF!</v>
      </c>
      <c r="G21" s="13">
        <f t="shared" si="2"/>
        <v>2032</v>
      </c>
      <c r="H21" s="35">
        <f t="shared" si="0"/>
        <v>0</v>
      </c>
      <c r="I21" s="36" t="e">
        <f t="shared" si="3"/>
        <v>#REF!</v>
      </c>
      <c r="J21" s="35">
        <f t="shared" si="1"/>
        <v>0</v>
      </c>
      <c r="K21" s="36" t="e">
        <f t="shared" si="4"/>
        <v>#REF!</v>
      </c>
    </row>
    <row r="22" spans="1:11" x14ac:dyDescent="0.25">
      <c r="A22" s="16" t="s">
        <v>15</v>
      </c>
      <c r="B22" s="16">
        <v>260</v>
      </c>
      <c r="G22" s="12">
        <f t="shared" si="2"/>
        <v>2033</v>
      </c>
      <c r="H22" s="35">
        <f t="shared" si="0"/>
        <v>0</v>
      </c>
      <c r="I22" s="34" t="e">
        <f t="shared" si="3"/>
        <v>#REF!</v>
      </c>
      <c r="J22" s="35">
        <f t="shared" si="1"/>
        <v>0</v>
      </c>
      <c r="K22" s="34" t="e">
        <f t="shared" si="4"/>
        <v>#REF!</v>
      </c>
    </row>
    <row r="23" spans="1:11" x14ac:dyDescent="0.25">
      <c r="G23" s="13">
        <f t="shared" si="2"/>
        <v>2034</v>
      </c>
      <c r="H23" s="35">
        <f t="shared" si="0"/>
        <v>0</v>
      </c>
      <c r="I23" s="36" t="e">
        <f t="shared" si="3"/>
        <v>#REF!</v>
      </c>
      <c r="J23" s="35">
        <f t="shared" si="1"/>
        <v>0</v>
      </c>
      <c r="K23" s="36" t="e">
        <f t="shared" si="4"/>
        <v>#REF!</v>
      </c>
    </row>
    <row r="24" spans="1:11" x14ac:dyDescent="0.25">
      <c r="G24" s="12">
        <f t="shared" si="2"/>
        <v>2035</v>
      </c>
      <c r="H24" s="35">
        <f t="shared" si="0"/>
        <v>0</v>
      </c>
      <c r="I24" s="34" t="e">
        <f t="shared" si="3"/>
        <v>#REF!</v>
      </c>
      <c r="J24" s="35">
        <f t="shared" si="1"/>
        <v>0</v>
      </c>
      <c r="K24" s="34" t="e">
        <f t="shared" si="4"/>
        <v>#REF!</v>
      </c>
    </row>
    <row r="25" spans="1:11" x14ac:dyDescent="0.25">
      <c r="G25" s="13">
        <f t="shared" si="2"/>
        <v>2036</v>
      </c>
      <c r="H25" s="35">
        <f t="shared" ref="H25:H28" si="5">IF($G25&lt;($G$4+$E$5),$E$17,0)</f>
        <v>0</v>
      </c>
      <c r="I25" s="36" t="e">
        <f t="shared" ref="I25:I29" si="6">H25*$B$20/10^3</f>
        <v>#REF!</v>
      </c>
      <c r="J25" s="35">
        <f t="shared" ref="J25:J28" si="7">IF($G25&lt;($G$4+$E$5),$E$18,0)</f>
        <v>0</v>
      </c>
      <c r="K25" s="36" t="e">
        <f t="shared" ref="K25:K29" si="8">J25*$B$21/10^3</f>
        <v>#REF!</v>
      </c>
    </row>
    <row r="26" spans="1:11" x14ac:dyDescent="0.25">
      <c r="G26" s="12">
        <f t="shared" si="2"/>
        <v>2037</v>
      </c>
      <c r="H26" s="35">
        <f t="shared" si="5"/>
        <v>0</v>
      </c>
      <c r="I26" s="34" t="e">
        <f t="shared" si="6"/>
        <v>#REF!</v>
      </c>
      <c r="J26" s="35">
        <f t="shared" si="7"/>
        <v>0</v>
      </c>
      <c r="K26" s="34" t="e">
        <f t="shared" si="8"/>
        <v>#REF!</v>
      </c>
    </row>
    <row r="27" spans="1:11" x14ac:dyDescent="0.25">
      <c r="G27" s="13">
        <f t="shared" si="2"/>
        <v>2038</v>
      </c>
      <c r="H27" s="35">
        <f t="shared" si="5"/>
        <v>0</v>
      </c>
      <c r="I27" s="36" t="e">
        <f t="shared" si="6"/>
        <v>#REF!</v>
      </c>
      <c r="J27" s="35">
        <f t="shared" si="7"/>
        <v>0</v>
      </c>
      <c r="K27" s="36" t="e">
        <f t="shared" si="8"/>
        <v>#REF!</v>
      </c>
    </row>
    <row r="28" spans="1:11" x14ac:dyDescent="0.25">
      <c r="G28" s="12">
        <f t="shared" si="2"/>
        <v>2039</v>
      </c>
      <c r="H28" s="35">
        <f t="shared" si="5"/>
        <v>0</v>
      </c>
      <c r="I28" s="34" t="e">
        <f t="shared" si="6"/>
        <v>#REF!</v>
      </c>
      <c r="J28" s="35">
        <f t="shared" si="7"/>
        <v>0</v>
      </c>
      <c r="K28" s="34" t="e">
        <f t="shared" si="8"/>
        <v>#REF!</v>
      </c>
    </row>
    <row r="29" spans="1:11" x14ac:dyDescent="0.25">
      <c r="G29" s="13">
        <f t="shared" si="2"/>
        <v>2040</v>
      </c>
      <c r="H29" s="35">
        <f>IF($G29&lt;($G$4+$E$5),$E$17,0)</f>
        <v>0</v>
      </c>
      <c r="I29" s="36" t="e">
        <f t="shared" si="6"/>
        <v>#REF!</v>
      </c>
      <c r="J29" s="35">
        <f>IF($G29&lt;($G$4+$E$5),$E$18,0)</f>
        <v>0</v>
      </c>
      <c r="K29" s="36" t="e">
        <f t="shared" si="8"/>
        <v>#REF!</v>
      </c>
    </row>
    <row r="31" spans="1:11" x14ac:dyDescent="0.25">
      <c r="A31" s="25"/>
    </row>
    <row r="53" spans="1:1" x14ac:dyDescent="0.25">
      <c r="A53" t="s">
        <v>10</v>
      </c>
    </row>
    <row r="54" spans="1:1" x14ac:dyDescent="0.25">
      <c r="A54" s="4" t="s">
        <v>12</v>
      </c>
    </row>
    <row r="55" spans="1:1" x14ac:dyDescent="0.25">
      <c r="A55" s="4" t="s">
        <v>11</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87EB5-3EA5-451C-BE8D-5E5E47BA3B11}">
  <sheetPr>
    <tabColor theme="4" tint="-0.499984740745262"/>
    <pageSetUpPr fitToPage="1"/>
  </sheetPr>
  <dimension ref="A7"/>
  <sheetViews>
    <sheetView tabSelected="1" zoomScale="130" zoomScaleNormal="130" workbookViewId="0">
      <selection activeCell="M10" sqref="M10"/>
    </sheetView>
  </sheetViews>
  <sheetFormatPr defaultRowHeight="15" x14ac:dyDescent="0.25"/>
  <cols>
    <col min="1" max="1" width="45.140625" style="78" bestFit="1" customWidth="1"/>
    <col min="2" max="2" width="12.5703125" style="78" customWidth="1"/>
    <col min="3" max="3" width="5.28515625" style="78" customWidth="1"/>
    <col min="4" max="4" width="23.5703125" style="78" customWidth="1"/>
    <col min="5" max="5" width="15.28515625" style="78" bestFit="1" customWidth="1"/>
    <col min="6" max="6" width="13.28515625" style="78" customWidth="1"/>
    <col min="7" max="7" width="4.5703125" style="78" customWidth="1"/>
    <col min="8" max="16384" width="9.140625" style="78"/>
  </cols>
  <sheetData>
    <row r="7" spans="1:1" x14ac:dyDescent="0.25">
      <c r="A7" s="25"/>
    </row>
  </sheetData>
  <pageMargins left="0.25" right="0.25" top="0.75" bottom="0.75" header="0.3" footer="0.3"/>
  <pageSetup paperSize="1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A3:L64"/>
  <sheetViews>
    <sheetView zoomScale="145" zoomScaleNormal="145" workbookViewId="0">
      <selection activeCell="A18" sqref="A18"/>
    </sheetView>
  </sheetViews>
  <sheetFormatPr defaultRowHeight="15" x14ac:dyDescent="0.25"/>
  <cols>
    <col min="1" max="1" width="47" customWidth="1"/>
    <col min="2" max="2" width="34.7109375" bestFit="1" customWidth="1"/>
    <col min="3" max="3" width="5.28515625" customWidth="1"/>
    <col min="4" max="4" width="5.85546875" customWidth="1"/>
    <col min="5" max="5" width="13.28515625" customWidth="1"/>
    <col min="6" max="6" width="4.5703125" customWidth="1"/>
  </cols>
  <sheetData>
    <row r="3" spans="1:5" ht="18.75" x14ac:dyDescent="0.3">
      <c r="A3" s="46" t="s">
        <v>52</v>
      </c>
      <c r="B3" s="47"/>
      <c r="C3" s="47"/>
      <c r="D3" s="47"/>
      <c r="E3" s="47"/>
    </row>
    <row r="5" spans="1:5" x14ac:dyDescent="0.25">
      <c r="A5" s="7" t="s">
        <v>0</v>
      </c>
      <c r="D5" s="6"/>
      <c r="E5" s="86" t="s">
        <v>136</v>
      </c>
    </row>
    <row r="6" spans="1:5" x14ac:dyDescent="0.25">
      <c r="A6" s="5" t="s">
        <v>5</v>
      </c>
      <c r="B6" s="53"/>
      <c r="D6" s="85"/>
      <c r="E6" s="86" t="s">
        <v>132</v>
      </c>
    </row>
    <row r="7" spans="1:5" x14ac:dyDescent="0.25">
      <c r="A7" s="5" t="s">
        <v>48</v>
      </c>
      <c r="B7" s="53"/>
      <c r="D7" s="87"/>
      <c r="E7" s="86" t="s">
        <v>133</v>
      </c>
    </row>
    <row r="8" spans="1:5" x14ac:dyDescent="0.25">
      <c r="A8" s="5" t="s">
        <v>49</v>
      </c>
      <c r="B8" s="53"/>
      <c r="D8" s="88"/>
      <c r="E8" s="86" t="s">
        <v>134</v>
      </c>
    </row>
    <row r="9" spans="1:5" x14ac:dyDescent="0.25">
      <c r="B9" s="86"/>
    </row>
    <row r="10" spans="1:5" x14ac:dyDescent="0.25">
      <c r="A10" s="7" t="s">
        <v>77</v>
      </c>
      <c r="B10" s="86"/>
      <c r="D10" s="54"/>
      <c r="E10" s="55"/>
    </row>
    <row r="11" spans="1:5" x14ac:dyDescent="0.25">
      <c r="A11" s="5" t="s">
        <v>71</v>
      </c>
      <c r="B11" s="53"/>
      <c r="D11" s="27"/>
      <c r="E11" s="48"/>
    </row>
    <row r="12" spans="1:5" x14ac:dyDescent="0.25">
      <c r="A12" s="5" t="s">
        <v>54</v>
      </c>
      <c r="B12" s="43"/>
      <c r="D12" s="27"/>
      <c r="E12" s="48"/>
    </row>
    <row r="13" spans="1:5" x14ac:dyDescent="0.25">
      <c r="A13" s="5" t="s">
        <v>107</v>
      </c>
      <c r="B13" s="53"/>
      <c r="D13" s="27"/>
    </row>
    <row r="14" spans="1:5" x14ac:dyDescent="0.25">
      <c r="A14" s="85" t="s">
        <v>140</v>
      </c>
      <c r="B14" s="85"/>
      <c r="D14" s="27"/>
      <c r="E14" s="48"/>
    </row>
    <row r="15" spans="1:5" s="78" customFormat="1" x14ac:dyDescent="0.25">
      <c r="A15" s="27"/>
      <c r="B15" s="131"/>
      <c r="D15" s="27"/>
      <c r="E15" s="48"/>
    </row>
    <row r="16" spans="1:5" s="78" customFormat="1" x14ac:dyDescent="0.25">
      <c r="A16" s="138" t="s">
        <v>128</v>
      </c>
      <c r="B16" s="131"/>
      <c r="D16" s="27"/>
      <c r="E16" s="48"/>
    </row>
    <row r="17" spans="1:12" s="78" customFormat="1" x14ac:dyDescent="0.25">
      <c r="A17" s="57" t="s">
        <v>141</v>
      </c>
      <c r="B17" s="58"/>
      <c r="D17" s="27"/>
      <c r="E17" s="48"/>
      <c r="L17" s="86"/>
    </row>
    <row r="18" spans="1:12" s="78" customFormat="1" x14ac:dyDescent="0.25">
      <c r="A18" s="57" t="s">
        <v>130</v>
      </c>
      <c r="B18" s="58"/>
      <c r="D18" s="27"/>
      <c r="E18" s="48"/>
      <c r="L18" s="86"/>
    </row>
    <row r="19" spans="1:12" s="78" customFormat="1" x14ac:dyDescent="0.25">
      <c r="A19" s="57" t="s">
        <v>129</v>
      </c>
      <c r="B19" s="58"/>
      <c r="D19" s="27"/>
      <c r="E19" s="48"/>
      <c r="L19" s="86"/>
    </row>
    <row r="20" spans="1:12" s="78" customFormat="1" x14ac:dyDescent="0.25">
      <c r="A20" s="27"/>
      <c r="B20" s="130"/>
      <c r="D20" s="27"/>
      <c r="E20" s="48"/>
      <c r="L20" s="86"/>
    </row>
    <row r="21" spans="1:12" s="78" customFormat="1" x14ac:dyDescent="0.25">
      <c r="A21"/>
      <c r="B21"/>
      <c r="D21" s="27"/>
      <c r="E21" s="48"/>
      <c r="L21" s="86"/>
    </row>
    <row r="22" spans="1:12" s="78" customFormat="1" x14ac:dyDescent="0.25">
      <c r="A22"/>
      <c r="B22"/>
      <c r="D22" s="27"/>
      <c r="E22" s="48"/>
      <c r="L22" s="86"/>
    </row>
    <row r="23" spans="1:12" s="78" customFormat="1" ht="18.75" x14ac:dyDescent="0.3">
      <c r="A23" s="46" t="s">
        <v>53</v>
      </c>
      <c r="B23" s="47"/>
      <c r="D23" s="27"/>
      <c r="E23" s="48"/>
      <c r="L23" s="86"/>
    </row>
    <row r="24" spans="1:12" s="78" customFormat="1" ht="18.75" x14ac:dyDescent="0.3">
      <c r="A24" s="135"/>
      <c r="B24" s="136"/>
      <c r="D24" s="27"/>
      <c r="E24" s="48"/>
      <c r="L24" s="86"/>
    </row>
    <row r="25" spans="1:12" x14ac:dyDescent="0.25">
      <c r="A25" s="11" t="s">
        <v>51</v>
      </c>
      <c r="D25" s="27"/>
      <c r="E25" s="48"/>
    </row>
    <row r="26" spans="1:12" x14ac:dyDescent="0.25">
      <c r="A26" s="10" t="s">
        <v>91</v>
      </c>
      <c r="B26" s="89" t="str">
        <f>IFERROR(Calculations!M35, "")</f>
        <v/>
      </c>
    </row>
    <row r="27" spans="1:12" x14ac:dyDescent="0.25">
      <c r="A27" s="10" t="s">
        <v>92</v>
      </c>
      <c r="B27" s="89" t="str">
        <f>IFERROR(Calculations!Q35,"")</f>
        <v/>
      </c>
      <c r="C27" s="136"/>
      <c r="D27" s="136"/>
      <c r="E27" s="136"/>
      <c r="H27" s="78"/>
    </row>
    <row r="28" spans="1:12" s="78" customFormat="1" x14ac:dyDescent="0.25">
      <c r="A28"/>
      <c r="B28"/>
      <c r="C28" s="136"/>
      <c r="D28" s="136"/>
      <c r="E28" s="136"/>
    </row>
    <row r="29" spans="1:12" x14ac:dyDescent="0.25">
      <c r="A29" s="11" t="s">
        <v>76</v>
      </c>
    </row>
    <row r="30" spans="1:12" x14ac:dyDescent="0.25">
      <c r="A30" s="10" t="s">
        <v>94</v>
      </c>
      <c r="B30" s="89" t="str">
        <f>IFERROR(($B$26+$B$27),"")</f>
        <v/>
      </c>
    </row>
    <row r="32" spans="1:12" x14ac:dyDescent="0.25">
      <c r="A32" s="11" t="e">
        <f>"Emissions Reductions (Life of Project = "&amp;'Assumed Values'!C8&amp;")"</f>
        <v>#N/A</v>
      </c>
    </row>
    <row r="33" spans="1:5" x14ac:dyDescent="0.25">
      <c r="A33" s="10" t="s">
        <v>98</v>
      </c>
      <c r="B33" s="90" t="str">
        <f>IFERROR(Calculations!K35,"")</f>
        <v/>
      </c>
    </row>
    <row r="34" spans="1:5" x14ac:dyDescent="0.25">
      <c r="A34" s="10" t="s">
        <v>74</v>
      </c>
      <c r="B34" s="90" t="str">
        <f>IFERROR(Calculations!O35,"")</f>
        <v/>
      </c>
    </row>
    <row r="36" spans="1:5" x14ac:dyDescent="0.25">
      <c r="E36" s="83"/>
    </row>
    <row r="49" spans="1:2" x14ac:dyDescent="0.25">
      <c r="A49" s="78"/>
      <c r="B49" s="78"/>
    </row>
    <row r="50" spans="1:2" x14ac:dyDescent="0.25">
      <c r="A50" s="78"/>
      <c r="B50" s="78"/>
    </row>
    <row r="51" spans="1:2" x14ac:dyDescent="0.25">
      <c r="A51" s="78"/>
      <c r="B51" s="78"/>
    </row>
    <row r="52" spans="1:2" x14ac:dyDescent="0.25">
      <c r="A52" s="78"/>
      <c r="B52" s="78"/>
    </row>
    <row r="53" spans="1:2" s="78" customFormat="1" x14ac:dyDescent="0.25"/>
    <row r="54" spans="1:2" s="78" customFormat="1" x14ac:dyDescent="0.25"/>
    <row r="55" spans="1:2" s="78" customFormat="1" x14ac:dyDescent="0.25"/>
    <row r="56" spans="1:2" s="78" customFormat="1" x14ac:dyDescent="0.25"/>
    <row r="57" spans="1:2" s="78" customFormat="1" x14ac:dyDescent="0.25"/>
    <row r="58" spans="1:2" s="78" customFormat="1" x14ac:dyDescent="0.25"/>
    <row r="59" spans="1:2" s="78" customFormat="1" x14ac:dyDescent="0.25"/>
    <row r="60" spans="1:2" s="78" customFormat="1" x14ac:dyDescent="0.25"/>
    <row r="61" spans="1:2" s="78" customFormat="1" x14ac:dyDescent="0.25">
      <c r="A61"/>
      <c r="B61"/>
    </row>
    <row r="62" spans="1:2" s="78" customFormat="1" x14ac:dyDescent="0.25">
      <c r="A62"/>
      <c r="B62"/>
    </row>
    <row r="63" spans="1:2" s="78" customFormat="1" x14ac:dyDescent="0.25">
      <c r="A63"/>
      <c r="B63"/>
    </row>
    <row r="64" spans="1:2" s="78" customFormat="1" x14ac:dyDescent="0.25">
      <c r="A64"/>
      <c r="B64"/>
    </row>
  </sheetData>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3">
        <x14:dataValidation type="list" operator="greaterThanOrEqual" allowBlank="1" showInputMessage="1" showErrorMessage="1" error="Year Must Be 2021 or Later" xr:uid="{00000000-0002-0000-0300-000001000000}">
          <x14:formula1>
            <xm:f>Calculations!$F$5:$F$34</xm:f>
          </x14:formula1>
          <xm:sqref>B12</xm:sqref>
        </x14:dataValidation>
        <x14:dataValidation type="list" allowBlank="1" showInputMessage="1" error="Project Must Be Located Within the " xr:uid="{00000000-0002-0000-0300-000000000000}">
          <x14:formula1>
            <xm:f>'Assumed Values'!$B$23:$B$31</xm:f>
          </x14:formula1>
          <xm:sqref>B11</xm:sqref>
        </x14:dataValidation>
        <x14:dataValidation type="list" allowBlank="1" showInputMessage="1" showErrorMessage="1" xr:uid="{1BEBD6E0-1A1B-4B0E-9209-5BD67765C6D1}">
          <x14:formula1>
            <xm:f>'Service Life'!$C$4:$C$11</xm:f>
          </x14:formula1>
          <xm:sqref>B13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B1:S35"/>
  <sheetViews>
    <sheetView zoomScaleNormal="100" workbookViewId="0">
      <selection activeCell="Q35" sqref="Q35"/>
    </sheetView>
  </sheetViews>
  <sheetFormatPr defaultRowHeight="15" x14ac:dyDescent="0.25"/>
  <cols>
    <col min="1" max="1" width="4.5703125" customWidth="1"/>
    <col min="2" max="2" width="50.7109375" customWidth="1"/>
    <col min="3" max="3" width="14" bestFit="1" customWidth="1"/>
    <col min="4" max="4" width="7.140625" customWidth="1"/>
    <col min="5" max="5" width="7.28515625" style="1" customWidth="1"/>
    <col min="6" max="7" width="18.5703125" style="44" customWidth="1"/>
    <col min="8" max="8" width="16.85546875" style="45" customWidth="1"/>
    <col min="9" max="9" width="16.28515625" customWidth="1"/>
    <col min="10" max="10" width="15.140625" customWidth="1"/>
    <col min="11" max="11" width="14.5703125" customWidth="1"/>
    <col min="12" max="12" width="17.140625" customWidth="1"/>
    <col min="13" max="13" width="11.7109375" bestFit="1" customWidth="1"/>
    <col min="14" max="14" width="18" customWidth="1"/>
    <col min="15" max="15" width="15" customWidth="1"/>
    <col min="16" max="16" width="15.42578125" customWidth="1"/>
    <col min="17" max="17" width="12.28515625" customWidth="1"/>
    <col min="18" max="18" width="16.42578125" customWidth="1"/>
    <col min="19" max="19" width="14.140625" customWidth="1"/>
    <col min="20" max="20" width="12.7109375" customWidth="1"/>
    <col min="21" max="21" width="12" customWidth="1"/>
    <col min="22" max="23" width="11.7109375" customWidth="1"/>
    <col min="24" max="24" width="10.140625" customWidth="1"/>
  </cols>
  <sheetData>
    <row r="1" spans="2:19" x14ac:dyDescent="0.25">
      <c r="F1" s="78" t="s">
        <v>59</v>
      </c>
    </row>
    <row r="3" spans="2:19" x14ac:dyDescent="0.25">
      <c r="F3"/>
      <c r="G3"/>
      <c r="Q3" s="1"/>
      <c r="R3" s="44"/>
      <c r="S3" s="45"/>
    </row>
    <row r="4" spans="2:19" ht="44.25" customHeight="1" x14ac:dyDescent="0.25">
      <c r="B4" s="59" t="s">
        <v>14</v>
      </c>
      <c r="F4" s="14" t="s">
        <v>13</v>
      </c>
      <c r="G4" s="63" t="s">
        <v>81</v>
      </c>
      <c r="H4" s="49" t="s">
        <v>50</v>
      </c>
      <c r="I4" s="49" t="s">
        <v>80</v>
      </c>
      <c r="J4" s="14" t="s">
        <v>56</v>
      </c>
      <c r="K4" s="79" t="s">
        <v>85</v>
      </c>
      <c r="L4" s="52" t="s">
        <v>58</v>
      </c>
      <c r="M4" s="51" t="s">
        <v>60</v>
      </c>
      <c r="N4" s="14" t="s">
        <v>82</v>
      </c>
      <c r="O4" s="79" t="s">
        <v>86</v>
      </c>
      <c r="P4" s="49" t="s">
        <v>61</v>
      </c>
      <c r="Q4" s="50" t="s">
        <v>62</v>
      </c>
    </row>
    <row r="5" spans="2:19" x14ac:dyDescent="0.25">
      <c r="B5" s="16" t="s">
        <v>127</v>
      </c>
      <c r="C5" s="60" t="e">
        <f>('Inputs &amp; Outputs'!B18/'Inputs &amp; Outputs'!B17)^(1/(2030-2020))-1</f>
        <v>#DIV/0!</v>
      </c>
      <c r="F5" s="66">
        <v>2021</v>
      </c>
      <c r="G5" s="64" t="e">
        <f t="shared" ref="G5:G14" si="0">$C$5</f>
        <v>#DIV/0!</v>
      </c>
      <c r="H5" s="65" t="e">
        <f>IF(AND(F5&gt;=Year_Open_to_Traffic?,F5&lt;Year_Open_to_Traffic?+'Assumed Values'!C$8),1,0)</f>
        <v>#N/A</v>
      </c>
      <c r="I5" s="69" t="e">
        <f>IF(F5=Year_Open_to_Traffic?,Calculations!$C$11,0)*H5</f>
        <v>#N/A</v>
      </c>
      <c r="J5" s="69" t="e">
        <f>H5*(I5*'Assumed Values'!$C$6)</f>
        <v>#N/A</v>
      </c>
      <c r="K5" s="80" t="e">
        <f>(J5*(1/907184))*260</f>
        <v>#N/A</v>
      </c>
      <c r="L5" s="71" t="e">
        <f>K5*INDEX('Value of Emissions'!C$4:C$34,MATCH(F5,'Value of Emissions'!B$4:B$34,1))</f>
        <v>#N/A</v>
      </c>
      <c r="M5" s="72" t="e">
        <f>L5/(1.07^(F5-$F$5))</f>
        <v>#N/A</v>
      </c>
      <c r="N5" s="69" t="e">
        <f>H5*(I5*'Assumed Values'!$C$5)</f>
        <v>#N/A</v>
      </c>
      <c r="O5" s="80" t="e">
        <f t="shared" ref="O5:O34" si="1">(N5*(1/907184.74))*260</f>
        <v>#N/A</v>
      </c>
      <c r="P5" s="71" t="e">
        <f>K5*INDEX('Value of Emissions'!D$4:D$34,MATCH(F5,'Value of Emissions'!B$4:B$34,1))</f>
        <v>#N/A</v>
      </c>
      <c r="Q5" s="72" t="e">
        <f>P5/(1.07^(F5-$F$5))</f>
        <v>#N/A</v>
      </c>
    </row>
    <row r="6" spans="2:19" x14ac:dyDescent="0.25">
      <c r="B6" s="16" t="s">
        <v>126</v>
      </c>
      <c r="C6" s="60" t="e">
        <f>('Inputs &amp; Outputs'!B19/'Inputs &amp; Outputs'!B18)^(1/(2050-2030))-1</f>
        <v>#DIV/0!</v>
      </c>
      <c r="F6" s="12">
        <f t="shared" ref="F6:F34" si="2">F5+1</f>
        <v>2022</v>
      </c>
      <c r="G6" s="64" t="e">
        <f t="shared" si="0"/>
        <v>#DIV/0!</v>
      </c>
      <c r="H6" s="65" t="e">
        <f>IF(AND(F6&gt;=Year_Open_to_Traffic?,F6&lt;Year_Open_to_Traffic?+'Assumed Values'!C$8),1,0)</f>
        <v>#N/A</v>
      </c>
      <c r="I6" s="69" t="e">
        <f>IF(F6=Year_Open_to_Traffic?,Calculations!$C$11,(I5+I5*G6))</f>
        <v>#N/A</v>
      </c>
      <c r="J6" s="69" t="e">
        <f>H6*(I6*'Assumed Values'!$C$6)</f>
        <v>#N/A</v>
      </c>
      <c r="K6" s="80" t="e">
        <f t="shared" ref="K6:K34" si="3">(J6*(1/907184))*260</f>
        <v>#N/A</v>
      </c>
      <c r="L6" s="71" t="e">
        <f>K6*INDEX('Value of Emissions'!C$4:C$34,MATCH(F6,'Value of Emissions'!B$4:B$34,1))</f>
        <v>#N/A</v>
      </c>
      <c r="M6" s="72" t="e">
        <f t="shared" ref="M6:M34" si="4">L6/(1.07^(F6-$F$5))</f>
        <v>#N/A</v>
      </c>
      <c r="N6" s="69" t="e">
        <f>H6*(I6*'Assumed Values'!$C$5)</f>
        <v>#N/A</v>
      </c>
      <c r="O6" s="80" t="e">
        <f t="shared" si="1"/>
        <v>#N/A</v>
      </c>
      <c r="P6" s="71" t="e">
        <f>K6*INDEX('Value of Emissions'!D$4:D$34,MATCH(F6,'Value of Emissions'!B$4:B$34,1))</f>
        <v>#N/A</v>
      </c>
      <c r="Q6" s="72" t="e">
        <f t="shared" ref="Q6:Q34" si="5">P6/(1.07^(F6-$F$5))</f>
        <v>#N/A</v>
      </c>
    </row>
    <row r="7" spans="2:19" x14ac:dyDescent="0.25">
      <c r="B7" s="16" t="s">
        <v>131</v>
      </c>
      <c r="C7" s="60" t="e">
        <f>('Inputs &amp; Outputs'!B19/'Inputs &amp; Outputs'!B17)^(1/(2050-2020))-1</f>
        <v>#DIV/0!</v>
      </c>
      <c r="F7" s="66">
        <f t="shared" si="2"/>
        <v>2023</v>
      </c>
      <c r="G7" s="64" t="e">
        <f t="shared" si="0"/>
        <v>#DIV/0!</v>
      </c>
      <c r="H7" s="65" t="e">
        <f>IF(AND(F7&gt;=Year_Open_to_Traffic?,F7&lt;Year_Open_to_Traffic?+'Assumed Values'!C$8),1,0)</f>
        <v>#N/A</v>
      </c>
      <c r="I7" s="69" t="e">
        <f>IF(F7=Year_Open_to_Traffic?,Calculations!$C$11,(I6+I6*G7))</f>
        <v>#N/A</v>
      </c>
      <c r="J7" s="69" t="e">
        <f>H7*(I7*'Assumed Values'!$C$6)</f>
        <v>#N/A</v>
      </c>
      <c r="K7" s="80" t="e">
        <f t="shared" si="3"/>
        <v>#N/A</v>
      </c>
      <c r="L7" s="71" t="e">
        <f>K7*INDEX('Value of Emissions'!C$4:C$34,MATCH(F7,'Value of Emissions'!B$4:B$34,1))</f>
        <v>#N/A</v>
      </c>
      <c r="M7" s="72" t="e">
        <f t="shared" si="4"/>
        <v>#N/A</v>
      </c>
      <c r="N7" s="69" t="e">
        <f>H7*(I7*'Assumed Values'!$C$5)</f>
        <v>#N/A</v>
      </c>
      <c r="O7" s="80" t="e">
        <f t="shared" si="1"/>
        <v>#N/A</v>
      </c>
      <c r="P7" s="71" t="e">
        <f>K7*INDEX('Value of Emissions'!D$4:D$34,MATCH(F7,'Value of Emissions'!B$4:B$34,1))</f>
        <v>#N/A</v>
      </c>
      <c r="Q7" s="72" t="e">
        <f t="shared" si="5"/>
        <v>#N/A</v>
      </c>
    </row>
    <row r="8" spans="2:19" x14ac:dyDescent="0.25">
      <c r="B8" s="27"/>
      <c r="C8" s="73"/>
      <c r="F8" s="12">
        <f t="shared" si="2"/>
        <v>2024</v>
      </c>
      <c r="G8" s="64" t="e">
        <f t="shared" si="0"/>
        <v>#DIV/0!</v>
      </c>
      <c r="H8" s="65" t="e">
        <f>IF(AND(F8&gt;=Year_Open_to_Traffic?,F8&lt;Year_Open_to_Traffic?+'Assumed Values'!C$8),1,0)</f>
        <v>#N/A</v>
      </c>
      <c r="I8" s="69" t="e">
        <f>IF(F8=Year_Open_to_Traffic?,Calculations!$C$11,(I7+I7*G8))</f>
        <v>#N/A</v>
      </c>
      <c r="J8" s="69" t="e">
        <f>H8*(I8*'Assumed Values'!$C$6)</f>
        <v>#N/A</v>
      </c>
      <c r="K8" s="80" t="e">
        <f t="shared" si="3"/>
        <v>#N/A</v>
      </c>
      <c r="L8" s="71" t="e">
        <f>K8*INDEX('Value of Emissions'!C$4:C$34,MATCH(F8,'Value of Emissions'!B$4:B$34,1))</f>
        <v>#N/A</v>
      </c>
      <c r="M8" s="72" t="e">
        <f t="shared" si="4"/>
        <v>#N/A</v>
      </c>
      <c r="N8" s="69" t="e">
        <f>H8*(I8*'Assumed Values'!$C$5)</f>
        <v>#N/A</v>
      </c>
      <c r="O8" s="80" t="e">
        <f t="shared" si="1"/>
        <v>#N/A</v>
      </c>
      <c r="P8" s="71" t="e">
        <f>K8*INDEX('Value of Emissions'!D$4:D$34,MATCH(F8,'Value of Emissions'!B$4:B$34,1))</f>
        <v>#N/A</v>
      </c>
      <c r="Q8" s="72" t="e">
        <f t="shared" si="5"/>
        <v>#N/A</v>
      </c>
    </row>
    <row r="9" spans="2:19" x14ac:dyDescent="0.25">
      <c r="B9" s="27"/>
      <c r="C9" s="73"/>
      <c r="F9" s="66">
        <f t="shared" si="2"/>
        <v>2025</v>
      </c>
      <c r="G9" s="64" t="e">
        <f t="shared" si="0"/>
        <v>#DIV/0!</v>
      </c>
      <c r="H9" s="65" t="e">
        <f>IF(AND(F9&gt;=Year_Open_to_Traffic?,F9&lt;Year_Open_to_Traffic?+'Assumed Values'!C$8),1,0)</f>
        <v>#N/A</v>
      </c>
      <c r="I9" s="69" t="e">
        <f>IF(F9=Year_Open_to_Traffic?,Calculations!$C$11,(I8+I8*G9))</f>
        <v>#N/A</v>
      </c>
      <c r="J9" s="69" t="e">
        <f>H9*(I9*'Assumed Values'!$C$6)</f>
        <v>#N/A</v>
      </c>
      <c r="K9" s="80" t="e">
        <f t="shared" si="3"/>
        <v>#N/A</v>
      </c>
      <c r="L9" s="71" t="e">
        <f>K9*INDEX('Value of Emissions'!C$4:C$34,MATCH(F9,'Value of Emissions'!B$4:B$34,1))</f>
        <v>#N/A</v>
      </c>
      <c r="M9" s="72" t="e">
        <f t="shared" si="4"/>
        <v>#N/A</v>
      </c>
      <c r="N9" s="69" t="e">
        <f>H9*(I9*'Assumed Values'!$C$5)</f>
        <v>#N/A</v>
      </c>
      <c r="O9" s="80" t="e">
        <f t="shared" si="1"/>
        <v>#N/A</v>
      </c>
      <c r="P9" s="71" t="e">
        <f>K9*INDEX('Value of Emissions'!D$4:D$34,MATCH(F9,'Value of Emissions'!B$4:B$34,1))</f>
        <v>#N/A</v>
      </c>
      <c r="Q9" s="72" t="e">
        <f t="shared" si="5"/>
        <v>#N/A</v>
      </c>
      <c r="S9" s="75"/>
    </row>
    <row r="10" spans="2:19" x14ac:dyDescent="0.25">
      <c r="B10" s="61" t="s">
        <v>79</v>
      </c>
      <c r="F10" s="12">
        <f t="shared" si="2"/>
        <v>2026</v>
      </c>
      <c r="G10" s="64" t="e">
        <f t="shared" si="0"/>
        <v>#DIV/0!</v>
      </c>
      <c r="H10" s="65" t="e">
        <f>IF(AND(F10&gt;=Year_Open_to_Traffic?,F10&lt;Year_Open_to_Traffic?+'Assumed Values'!C$8),1,0)</f>
        <v>#N/A</v>
      </c>
      <c r="I10" s="69" t="e">
        <f>IF(F10=Year_Open_to_Traffic?,Calculations!$C$11,(I9+I9*G10))</f>
        <v>#N/A</v>
      </c>
      <c r="J10" s="69" t="e">
        <f>H10*(I10*'Assumed Values'!$C$6)</f>
        <v>#N/A</v>
      </c>
      <c r="K10" s="80" t="e">
        <f t="shared" si="3"/>
        <v>#N/A</v>
      </c>
      <c r="L10" s="71" t="e">
        <f>K10*INDEX('Value of Emissions'!C$4:C$34,MATCH(F10,'Value of Emissions'!B$4:B$34,1))</f>
        <v>#N/A</v>
      </c>
      <c r="M10" s="72" t="e">
        <f t="shared" si="4"/>
        <v>#N/A</v>
      </c>
      <c r="N10" s="69" t="e">
        <f>H10*(I10*'Assumed Values'!$C$5)</f>
        <v>#N/A</v>
      </c>
      <c r="O10" s="80" t="e">
        <f t="shared" si="1"/>
        <v>#N/A</v>
      </c>
      <c r="P10" s="71" t="e">
        <f>K10*INDEX('Value of Emissions'!D$4:D$34,MATCH(F10,'Value of Emissions'!B$4:B$34,1))</f>
        <v>#N/A</v>
      </c>
      <c r="Q10" s="72" t="e">
        <f t="shared" si="5"/>
        <v>#N/A</v>
      </c>
      <c r="S10" s="75"/>
    </row>
    <row r="11" spans="2:19" x14ac:dyDescent="0.25">
      <c r="B11" s="62" t="s">
        <v>83</v>
      </c>
      <c r="C11" s="56">
        <f>'Inputs &amp; Outputs'!B14</f>
        <v>0</v>
      </c>
      <c r="F11" s="66">
        <f t="shared" si="2"/>
        <v>2027</v>
      </c>
      <c r="G11" s="64" t="e">
        <f t="shared" si="0"/>
        <v>#DIV/0!</v>
      </c>
      <c r="H11" s="65" t="e">
        <f>IF(AND(F11&gt;=Year_Open_to_Traffic?,F11&lt;Year_Open_to_Traffic?+'Assumed Values'!C$8),1,0)</f>
        <v>#N/A</v>
      </c>
      <c r="I11" s="69" t="e">
        <f>IF(F11=Year_Open_to_Traffic?,Calculations!$C$11,(I10+I10*G11))</f>
        <v>#N/A</v>
      </c>
      <c r="J11" s="69" t="e">
        <f>H11*(I11*'Assumed Values'!$C$6)</f>
        <v>#N/A</v>
      </c>
      <c r="K11" s="80" t="e">
        <f t="shared" si="3"/>
        <v>#N/A</v>
      </c>
      <c r="L11" s="71" t="e">
        <f>K11*INDEX('Value of Emissions'!C$4:C$34,MATCH(F11,'Value of Emissions'!B$4:B$34,1))</f>
        <v>#N/A</v>
      </c>
      <c r="M11" s="72" t="e">
        <f t="shared" si="4"/>
        <v>#N/A</v>
      </c>
      <c r="N11" s="69" t="e">
        <f>H11*(I11*'Assumed Values'!$C$5)</f>
        <v>#N/A</v>
      </c>
      <c r="O11" s="80" t="e">
        <f t="shared" si="1"/>
        <v>#N/A</v>
      </c>
      <c r="P11" s="71" t="e">
        <f>K11*INDEX('Value of Emissions'!D$4:D$34,MATCH(F11,'Value of Emissions'!B$4:B$34,1))</f>
        <v>#N/A</v>
      </c>
      <c r="Q11" s="72" t="e">
        <f t="shared" si="5"/>
        <v>#N/A</v>
      </c>
      <c r="S11" s="75"/>
    </row>
    <row r="12" spans="2:19" x14ac:dyDescent="0.25">
      <c r="B12" s="74"/>
      <c r="C12" s="55"/>
      <c r="F12" s="12">
        <f t="shared" si="2"/>
        <v>2028</v>
      </c>
      <c r="G12" s="64" t="e">
        <f t="shared" si="0"/>
        <v>#DIV/0!</v>
      </c>
      <c r="H12" s="65" t="e">
        <f>IF(AND(F12&gt;=Year_Open_to_Traffic?,F12&lt;Year_Open_to_Traffic?+'Assumed Values'!C$8),1,0)</f>
        <v>#N/A</v>
      </c>
      <c r="I12" s="69" t="e">
        <f>IF(F12=Year_Open_to_Traffic?,Calculations!$C$11,(I11+I11*G12))</f>
        <v>#N/A</v>
      </c>
      <c r="J12" s="69" t="e">
        <f>H12*(I12*'Assumed Values'!$C$6)</f>
        <v>#N/A</v>
      </c>
      <c r="K12" s="80" t="e">
        <f t="shared" si="3"/>
        <v>#N/A</v>
      </c>
      <c r="L12" s="71" t="e">
        <f>K12*INDEX('Value of Emissions'!C$4:C$34,MATCH(F12,'Value of Emissions'!B$4:B$34,1))</f>
        <v>#N/A</v>
      </c>
      <c r="M12" s="72" t="e">
        <f t="shared" si="4"/>
        <v>#N/A</v>
      </c>
      <c r="N12" s="69" t="e">
        <f>H12*(I12*'Assumed Values'!$C$5)</f>
        <v>#N/A</v>
      </c>
      <c r="O12" s="80" t="e">
        <f t="shared" si="1"/>
        <v>#N/A</v>
      </c>
      <c r="P12" s="71" t="e">
        <f>K12*INDEX('Value of Emissions'!D$4:D$34,MATCH(F12,'Value of Emissions'!B$4:B$34,1))</f>
        <v>#N/A</v>
      </c>
      <c r="Q12" s="72" t="e">
        <f t="shared" si="5"/>
        <v>#N/A</v>
      </c>
    </row>
    <row r="13" spans="2:19" x14ac:dyDescent="0.25">
      <c r="F13" s="66">
        <f t="shared" si="2"/>
        <v>2029</v>
      </c>
      <c r="G13" s="64" t="e">
        <f t="shared" si="0"/>
        <v>#DIV/0!</v>
      </c>
      <c r="H13" s="65" t="e">
        <f>IF(AND(F13&gt;=Year_Open_to_Traffic?,F13&lt;Year_Open_to_Traffic?+'Assumed Values'!C$8),1,0)</f>
        <v>#N/A</v>
      </c>
      <c r="I13" s="69" t="e">
        <f>IF(F13=Year_Open_to_Traffic?,Calculations!$C$11,(I12+I12*G13))</f>
        <v>#N/A</v>
      </c>
      <c r="J13" s="69" t="e">
        <f>H13*(I13*'Assumed Values'!$C$6)</f>
        <v>#N/A</v>
      </c>
      <c r="K13" s="80" t="e">
        <f t="shared" si="3"/>
        <v>#N/A</v>
      </c>
      <c r="L13" s="71" t="e">
        <f>K13*INDEX('Value of Emissions'!C$4:C$34,MATCH(F13,'Value of Emissions'!B$4:B$34,1))</f>
        <v>#N/A</v>
      </c>
      <c r="M13" s="72" t="e">
        <f t="shared" si="4"/>
        <v>#N/A</v>
      </c>
      <c r="N13" s="69" t="e">
        <f>H13*(I13*'Assumed Values'!$C$5)</f>
        <v>#N/A</v>
      </c>
      <c r="O13" s="80" t="e">
        <f t="shared" si="1"/>
        <v>#N/A</v>
      </c>
      <c r="P13" s="71" t="e">
        <f>K13*INDEX('Value of Emissions'!D$4:D$34,MATCH(F13,'Value of Emissions'!B$4:B$34,1))</f>
        <v>#N/A</v>
      </c>
      <c r="Q13" s="72" t="e">
        <f t="shared" si="5"/>
        <v>#N/A</v>
      </c>
    </row>
    <row r="14" spans="2:19" x14ac:dyDescent="0.25">
      <c r="F14" s="12">
        <f t="shared" si="2"/>
        <v>2030</v>
      </c>
      <c r="G14" s="64" t="e">
        <f t="shared" si="0"/>
        <v>#DIV/0!</v>
      </c>
      <c r="H14" s="65" t="e">
        <f>IF(AND(F14&gt;=Year_Open_to_Traffic?,F14&lt;Year_Open_to_Traffic?+'Assumed Values'!C$8),1,0)</f>
        <v>#N/A</v>
      </c>
      <c r="I14" s="69" t="e">
        <f>IF(F14=Year_Open_to_Traffic?,Calculations!$C$11,(I13+I13*G14))</f>
        <v>#N/A</v>
      </c>
      <c r="J14" s="69" t="e">
        <f>H14*(I14*'Assumed Values'!$C$6)</f>
        <v>#N/A</v>
      </c>
      <c r="K14" s="80" t="e">
        <f t="shared" si="3"/>
        <v>#N/A</v>
      </c>
      <c r="L14" s="71" t="e">
        <f>K14*INDEX('Value of Emissions'!C$4:C$34,MATCH(F14,'Value of Emissions'!B$4:B$34,1))</f>
        <v>#N/A</v>
      </c>
      <c r="M14" s="72" t="e">
        <f t="shared" si="4"/>
        <v>#N/A</v>
      </c>
      <c r="N14" s="69" t="e">
        <f>H14*(I14*'Assumed Values'!$C$5)</f>
        <v>#N/A</v>
      </c>
      <c r="O14" s="80" t="e">
        <f t="shared" si="1"/>
        <v>#N/A</v>
      </c>
      <c r="P14" s="71" t="e">
        <f>K14*INDEX('Value of Emissions'!D$4:D$34,MATCH(F14,'Value of Emissions'!B$4:B$34,1))</f>
        <v>#N/A</v>
      </c>
      <c r="Q14" s="72" t="e">
        <f t="shared" si="5"/>
        <v>#N/A</v>
      </c>
    </row>
    <row r="15" spans="2:19" x14ac:dyDescent="0.25">
      <c r="B15" s="61" t="s">
        <v>89</v>
      </c>
      <c r="C15" s="68" t="e">
        <f>$C$11*'Assumed Values'!C$6</f>
        <v>#N/A</v>
      </c>
      <c r="F15" s="66">
        <f t="shared" si="2"/>
        <v>2031</v>
      </c>
      <c r="G15" s="67" t="e">
        <f t="shared" ref="G15:G34" si="6">$C$6</f>
        <v>#DIV/0!</v>
      </c>
      <c r="H15" s="65" t="e">
        <f>IF(AND(F15&gt;=Year_Open_to_Traffic?,F15&lt;Year_Open_to_Traffic?+'Assumed Values'!C$8),1,0)</f>
        <v>#N/A</v>
      </c>
      <c r="I15" s="69" t="e">
        <f>IF(F15=Year_Open_to_Traffic?,Calculations!$C$11,(I14+I14*G15))</f>
        <v>#N/A</v>
      </c>
      <c r="J15" s="69" t="e">
        <f>H15*(I15*'Assumed Values'!$C$6)</f>
        <v>#N/A</v>
      </c>
      <c r="K15" s="80" t="e">
        <f t="shared" si="3"/>
        <v>#N/A</v>
      </c>
      <c r="L15" s="71" t="e">
        <f>K15*INDEX('Value of Emissions'!C$4:C$34,MATCH(F15,'Value of Emissions'!B$4:B$34,1))</f>
        <v>#N/A</v>
      </c>
      <c r="M15" s="72" t="e">
        <f t="shared" si="4"/>
        <v>#N/A</v>
      </c>
      <c r="N15" s="69" t="e">
        <f>H15*(I15*'Assumed Values'!$C$5)</f>
        <v>#N/A</v>
      </c>
      <c r="O15" s="80" t="e">
        <f t="shared" si="1"/>
        <v>#N/A</v>
      </c>
      <c r="P15" s="71" t="e">
        <f>K15*INDEX('Value of Emissions'!D$4:D$34,MATCH(F15,'Value of Emissions'!B$4:B$34,1))</f>
        <v>#N/A</v>
      </c>
      <c r="Q15" s="72" t="e">
        <f t="shared" si="5"/>
        <v>#N/A</v>
      </c>
    </row>
    <row r="16" spans="2:19" x14ac:dyDescent="0.25">
      <c r="F16" s="12">
        <f t="shared" si="2"/>
        <v>2032</v>
      </c>
      <c r="G16" s="67" t="e">
        <f t="shared" si="6"/>
        <v>#DIV/0!</v>
      </c>
      <c r="H16" s="65" t="e">
        <f>IF(AND(F16&gt;=Year_Open_to_Traffic?,F16&lt;Year_Open_to_Traffic?+'Assumed Values'!C$8),1,0)</f>
        <v>#N/A</v>
      </c>
      <c r="I16" s="69" t="e">
        <f>IF(F16=Year_Open_to_Traffic?,Calculations!$C$11,(I15+I15*G16))</f>
        <v>#N/A</v>
      </c>
      <c r="J16" s="69" t="e">
        <f>H16*(I16*'Assumed Values'!$C$6)</f>
        <v>#N/A</v>
      </c>
      <c r="K16" s="80" t="e">
        <f t="shared" si="3"/>
        <v>#N/A</v>
      </c>
      <c r="L16" s="71" t="e">
        <f>K16*INDEX('Value of Emissions'!C$4:C$34,MATCH(F16,'Value of Emissions'!B$4:B$34,1))</f>
        <v>#N/A</v>
      </c>
      <c r="M16" s="72" t="e">
        <f t="shared" si="4"/>
        <v>#N/A</v>
      </c>
      <c r="N16" s="69" t="e">
        <f>H16*(I16*'Assumed Values'!$C$5)</f>
        <v>#N/A</v>
      </c>
      <c r="O16" s="80" t="e">
        <f t="shared" si="1"/>
        <v>#N/A</v>
      </c>
      <c r="P16" s="71" t="e">
        <f>K16*INDEX('Value of Emissions'!D$4:D$34,MATCH(F16,'Value of Emissions'!B$4:B$34,1))</f>
        <v>#N/A</v>
      </c>
      <c r="Q16" s="72" t="e">
        <f t="shared" si="5"/>
        <v>#N/A</v>
      </c>
    </row>
    <row r="17" spans="2:17" x14ac:dyDescent="0.25">
      <c r="B17" s="61" t="s">
        <v>90</v>
      </c>
      <c r="C17" s="68" t="e">
        <f>$C$11*'Assumed Values'!C$5</f>
        <v>#N/A</v>
      </c>
      <c r="F17" s="66">
        <f t="shared" si="2"/>
        <v>2033</v>
      </c>
      <c r="G17" s="67" t="e">
        <f t="shared" si="6"/>
        <v>#DIV/0!</v>
      </c>
      <c r="H17" s="65" t="e">
        <f>IF(AND(F17&gt;=Year_Open_to_Traffic?,F17&lt;Year_Open_to_Traffic?+'Assumed Values'!C$8),1,0)</f>
        <v>#N/A</v>
      </c>
      <c r="I17" s="69" t="e">
        <f>IF(F17=Year_Open_to_Traffic?,Calculations!$C$11,(I16+I16*G17))</f>
        <v>#N/A</v>
      </c>
      <c r="J17" s="69" t="e">
        <f>H17*(I17*'Assumed Values'!$C$6)</f>
        <v>#N/A</v>
      </c>
      <c r="K17" s="80" t="e">
        <f t="shared" si="3"/>
        <v>#N/A</v>
      </c>
      <c r="L17" s="71" t="e">
        <f>K17*INDEX('Value of Emissions'!C$4:C$34,MATCH(F17,'Value of Emissions'!B$4:B$34,1))</f>
        <v>#N/A</v>
      </c>
      <c r="M17" s="72" t="e">
        <f t="shared" si="4"/>
        <v>#N/A</v>
      </c>
      <c r="N17" s="69" t="e">
        <f>H17*(I17*'Assumed Values'!$C$5)</f>
        <v>#N/A</v>
      </c>
      <c r="O17" s="80" t="e">
        <f t="shared" si="1"/>
        <v>#N/A</v>
      </c>
      <c r="P17" s="71" t="e">
        <f>K17*INDEX('Value of Emissions'!D$4:D$34,MATCH(F17,'Value of Emissions'!B$4:B$34,1))</f>
        <v>#N/A</v>
      </c>
      <c r="Q17" s="72" t="e">
        <f t="shared" si="5"/>
        <v>#N/A</v>
      </c>
    </row>
    <row r="18" spans="2:17" x14ac:dyDescent="0.25">
      <c r="F18" s="12">
        <f t="shared" si="2"/>
        <v>2034</v>
      </c>
      <c r="G18" s="67" t="e">
        <f t="shared" si="6"/>
        <v>#DIV/0!</v>
      </c>
      <c r="H18" s="65" t="e">
        <f>IF(AND(F18&gt;=Year_Open_to_Traffic?,F18&lt;Year_Open_to_Traffic?+'Assumed Values'!C$8),1,0)</f>
        <v>#N/A</v>
      </c>
      <c r="I18" s="69" t="e">
        <f>IF(F18=Year_Open_to_Traffic?,Calculations!$C$11,(I17+I17*G18))</f>
        <v>#N/A</v>
      </c>
      <c r="J18" s="69" t="e">
        <f>H18*(I18*'Assumed Values'!$C$6)</f>
        <v>#N/A</v>
      </c>
      <c r="K18" s="80" t="e">
        <f t="shared" si="3"/>
        <v>#N/A</v>
      </c>
      <c r="L18" s="71" t="e">
        <f>K18*INDEX('Value of Emissions'!C$4:C$34,MATCH(F18,'Value of Emissions'!B$4:B$34,1))</f>
        <v>#N/A</v>
      </c>
      <c r="M18" s="72" t="e">
        <f t="shared" si="4"/>
        <v>#N/A</v>
      </c>
      <c r="N18" s="69" t="e">
        <f>H18*(I18*'Assumed Values'!$C$5)</f>
        <v>#N/A</v>
      </c>
      <c r="O18" s="80" t="e">
        <f t="shared" si="1"/>
        <v>#N/A</v>
      </c>
      <c r="P18" s="71" t="e">
        <f>K18*INDEX('Value of Emissions'!D$4:D$34,MATCH(F18,'Value of Emissions'!B$4:B$34,1))</f>
        <v>#N/A</v>
      </c>
      <c r="Q18" s="72" t="e">
        <f t="shared" si="5"/>
        <v>#N/A</v>
      </c>
    </row>
    <row r="19" spans="2:17" x14ac:dyDescent="0.25">
      <c r="F19" s="66">
        <f t="shared" si="2"/>
        <v>2035</v>
      </c>
      <c r="G19" s="67" t="e">
        <f t="shared" si="6"/>
        <v>#DIV/0!</v>
      </c>
      <c r="H19" s="65" t="e">
        <f>IF(AND(F19&gt;=Year_Open_to_Traffic?,F19&lt;Year_Open_to_Traffic?+'Assumed Values'!C$8),1,0)</f>
        <v>#N/A</v>
      </c>
      <c r="I19" s="69" t="e">
        <f>IF(F19=Year_Open_to_Traffic?,Calculations!$C$11,(I18+I18*G19))</f>
        <v>#N/A</v>
      </c>
      <c r="J19" s="69" t="e">
        <f>H19*(I19*'Assumed Values'!$C$6)</f>
        <v>#N/A</v>
      </c>
      <c r="K19" s="80" t="e">
        <f t="shared" si="3"/>
        <v>#N/A</v>
      </c>
      <c r="L19" s="71" t="e">
        <f>K19*INDEX('Value of Emissions'!C$4:C$34,MATCH(F19,'Value of Emissions'!B$4:B$34,1))</f>
        <v>#N/A</v>
      </c>
      <c r="M19" s="72" t="e">
        <f t="shared" si="4"/>
        <v>#N/A</v>
      </c>
      <c r="N19" s="69" t="e">
        <f>H19*(I19*'Assumed Values'!$C$5)</f>
        <v>#N/A</v>
      </c>
      <c r="O19" s="80" t="e">
        <f t="shared" si="1"/>
        <v>#N/A</v>
      </c>
      <c r="P19" s="71" t="e">
        <f>K19*INDEX('Value of Emissions'!D$4:D$34,MATCH(F19,'Value of Emissions'!B$4:B$34,1))</f>
        <v>#N/A</v>
      </c>
      <c r="Q19" s="72" t="e">
        <f t="shared" si="5"/>
        <v>#N/A</v>
      </c>
    </row>
    <row r="20" spans="2:17" x14ac:dyDescent="0.25">
      <c r="F20" s="12">
        <f t="shared" si="2"/>
        <v>2036</v>
      </c>
      <c r="G20" s="67" t="e">
        <f t="shared" si="6"/>
        <v>#DIV/0!</v>
      </c>
      <c r="H20" s="65" t="e">
        <f>IF(AND(F20&gt;=Year_Open_to_Traffic?,F20&lt;Year_Open_to_Traffic?+'Assumed Values'!C$8),1,0)</f>
        <v>#N/A</v>
      </c>
      <c r="I20" s="69" t="e">
        <f>IF(F20=Year_Open_to_Traffic?,Calculations!$C$11,(I19+I19*G20))</f>
        <v>#N/A</v>
      </c>
      <c r="J20" s="69" t="e">
        <f>H20*(I20*'Assumed Values'!$C$6)</f>
        <v>#N/A</v>
      </c>
      <c r="K20" s="80" t="e">
        <f t="shared" si="3"/>
        <v>#N/A</v>
      </c>
      <c r="L20" s="71" t="e">
        <f>K20*INDEX('Value of Emissions'!C$4:C$34,MATCH(F20,'Value of Emissions'!B$4:B$34,1))</f>
        <v>#N/A</v>
      </c>
      <c r="M20" s="72" t="e">
        <f t="shared" si="4"/>
        <v>#N/A</v>
      </c>
      <c r="N20" s="69" t="e">
        <f>H20*(I20*'Assumed Values'!$C$5)</f>
        <v>#N/A</v>
      </c>
      <c r="O20" s="80" t="e">
        <f t="shared" si="1"/>
        <v>#N/A</v>
      </c>
      <c r="P20" s="71" t="e">
        <f>K20*INDEX('Value of Emissions'!D$4:D$34,MATCH(F20,'Value of Emissions'!B$4:B$34,1))</f>
        <v>#N/A</v>
      </c>
      <c r="Q20" s="72" t="e">
        <f t="shared" si="5"/>
        <v>#N/A</v>
      </c>
    </row>
    <row r="21" spans="2:17" x14ac:dyDescent="0.25">
      <c r="F21" s="66">
        <f t="shared" si="2"/>
        <v>2037</v>
      </c>
      <c r="G21" s="67" t="e">
        <f t="shared" si="6"/>
        <v>#DIV/0!</v>
      </c>
      <c r="H21" s="65" t="e">
        <f>IF(AND(F21&gt;=Year_Open_to_Traffic?,F21&lt;Year_Open_to_Traffic?+'Assumed Values'!C$8),1,0)</f>
        <v>#N/A</v>
      </c>
      <c r="I21" s="69" t="e">
        <f>IF(F21=Year_Open_to_Traffic?,Calculations!$C$11,(I20+I20*G21))</f>
        <v>#N/A</v>
      </c>
      <c r="J21" s="69" t="e">
        <f>H21*(I21*'Assumed Values'!$C$6)</f>
        <v>#N/A</v>
      </c>
      <c r="K21" s="80" t="e">
        <f t="shared" si="3"/>
        <v>#N/A</v>
      </c>
      <c r="L21" s="71" t="e">
        <f>K21*INDEX('Value of Emissions'!C$4:C$34,MATCH(F21,'Value of Emissions'!B$4:B$34,1))</f>
        <v>#N/A</v>
      </c>
      <c r="M21" s="72" t="e">
        <f t="shared" si="4"/>
        <v>#N/A</v>
      </c>
      <c r="N21" s="69" t="e">
        <f>H21*(I21*'Assumed Values'!$C$5)</f>
        <v>#N/A</v>
      </c>
      <c r="O21" s="80" t="e">
        <f t="shared" si="1"/>
        <v>#N/A</v>
      </c>
      <c r="P21" s="71" t="e">
        <f>K21*INDEX('Value of Emissions'!D$4:D$34,MATCH(F21,'Value of Emissions'!B$4:B$34,1))</f>
        <v>#N/A</v>
      </c>
      <c r="Q21" s="72" t="e">
        <f t="shared" si="5"/>
        <v>#N/A</v>
      </c>
    </row>
    <row r="22" spans="2:17" x14ac:dyDescent="0.25">
      <c r="F22" s="12">
        <f t="shared" si="2"/>
        <v>2038</v>
      </c>
      <c r="G22" s="67" t="e">
        <f t="shared" si="6"/>
        <v>#DIV/0!</v>
      </c>
      <c r="H22" s="65" t="e">
        <f>IF(AND(F22&gt;=Year_Open_to_Traffic?,F22&lt;Year_Open_to_Traffic?+'Assumed Values'!C$8),1,0)</f>
        <v>#N/A</v>
      </c>
      <c r="I22" s="69" t="e">
        <f>IF(F22=Year_Open_to_Traffic?,Calculations!$C$11,(I21+I21*G22))</f>
        <v>#N/A</v>
      </c>
      <c r="J22" s="69" t="e">
        <f>H22*(I22*'Assumed Values'!$C$6)</f>
        <v>#N/A</v>
      </c>
      <c r="K22" s="80" t="e">
        <f t="shared" si="3"/>
        <v>#N/A</v>
      </c>
      <c r="L22" s="71" t="e">
        <f>K22*INDEX('Value of Emissions'!C$4:C$34,MATCH(F22,'Value of Emissions'!B$4:B$34,1))</f>
        <v>#N/A</v>
      </c>
      <c r="M22" s="72" t="e">
        <f t="shared" si="4"/>
        <v>#N/A</v>
      </c>
      <c r="N22" s="69" t="e">
        <f>H22*(I22*'Assumed Values'!$C$5)</f>
        <v>#N/A</v>
      </c>
      <c r="O22" s="80" t="e">
        <f t="shared" si="1"/>
        <v>#N/A</v>
      </c>
      <c r="P22" s="71" t="e">
        <f>K22*INDEX('Value of Emissions'!D$4:D$34,MATCH(F22,'Value of Emissions'!B$4:B$34,1))</f>
        <v>#N/A</v>
      </c>
      <c r="Q22" s="72" t="e">
        <f t="shared" si="5"/>
        <v>#N/A</v>
      </c>
    </row>
    <row r="23" spans="2:17" x14ac:dyDescent="0.25">
      <c r="F23" s="66">
        <f t="shared" si="2"/>
        <v>2039</v>
      </c>
      <c r="G23" s="67" t="e">
        <f t="shared" si="6"/>
        <v>#DIV/0!</v>
      </c>
      <c r="H23" s="65" t="e">
        <f>IF(AND(F23&gt;=Year_Open_to_Traffic?,F23&lt;Year_Open_to_Traffic?+'Assumed Values'!C$8),1,0)</f>
        <v>#N/A</v>
      </c>
      <c r="I23" s="69" t="e">
        <f>IF(F23=Year_Open_to_Traffic?,Calculations!$C$11,(I22+I22*G23))</f>
        <v>#N/A</v>
      </c>
      <c r="J23" s="69" t="e">
        <f>H23*(I23*'Assumed Values'!$C$6)</f>
        <v>#N/A</v>
      </c>
      <c r="K23" s="80" t="e">
        <f t="shared" si="3"/>
        <v>#N/A</v>
      </c>
      <c r="L23" s="71" t="e">
        <f>K23*INDEX('Value of Emissions'!C$4:C$34,MATCH(F23,'Value of Emissions'!B$4:B$34,1))</f>
        <v>#N/A</v>
      </c>
      <c r="M23" s="72" t="e">
        <f t="shared" si="4"/>
        <v>#N/A</v>
      </c>
      <c r="N23" s="69" t="e">
        <f>H23*(I23*'Assumed Values'!$C$5)</f>
        <v>#N/A</v>
      </c>
      <c r="O23" s="80" t="e">
        <f t="shared" si="1"/>
        <v>#N/A</v>
      </c>
      <c r="P23" s="71" t="e">
        <f>K23*INDEX('Value of Emissions'!D$4:D$34,MATCH(F23,'Value of Emissions'!B$4:B$34,1))</f>
        <v>#N/A</v>
      </c>
      <c r="Q23" s="72" t="e">
        <f t="shared" si="5"/>
        <v>#N/A</v>
      </c>
    </row>
    <row r="24" spans="2:17" x14ac:dyDescent="0.25">
      <c r="F24" s="12">
        <f t="shared" si="2"/>
        <v>2040</v>
      </c>
      <c r="G24" s="67" t="e">
        <f t="shared" si="6"/>
        <v>#DIV/0!</v>
      </c>
      <c r="H24" s="65" t="e">
        <f>IF(AND(F24&gt;=Year_Open_to_Traffic?,F24&lt;Year_Open_to_Traffic?+'Assumed Values'!C$8),1,0)</f>
        <v>#N/A</v>
      </c>
      <c r="I24" s="69" t="e">
        <f>IF(F24=Year_Open_to_Traffic?,Calculations!$C$11,(I23+I23*G24))</f>
        <v>#N/A</v>
      </c>
      <c r="J24" s="69" t="e">
        <f>H24*(I24*'Assumed Values'!$C$6)</f>
        <v>#N/A</v>
      </c>
      <c r="K24" s="80" t="e">
        <f t="shared" si="3"/>
        <v>#N/A</v>
      </c>
      <c r="L24" s="71" t="e">
        <f>K24*INDEX('Value of Emissions'!C$4:C$34,MATCH(F24,'Value of Emissions'!B$4:B$34,1))</f>
        <v>#N/A</v>
      </c>
      <c r="M24" s="72" t="e">
        <f t="shared" si="4"/>
        <v>#N/A</v>
      </c>
      <c r="N24" s="69" t="e">
        <f>H24*(I24*'Assumed Values'!$C$5)</f>
        <v>#N/A</v>
      </c>
      <c r="O24" s="80" t="e">
        <f t="shared" si="1"/>
        <v>#N/A</v>
      </c>
      <c r="P24" s="71" t="e">
        <f>K24*INDEX('Value of Emissions'!D$4:D$34,MATCH(F24,'Value of Emissions'!B$4:B$34,1))</f>
        <v>#N/A</v>
      </c>
      <c r="Q24" s="72" t="e">
        <f t="shared" si="5"/>
        <v>#N/A</v>
      </c>
    </row>
    <row r="25" spans="2:17" x14ac:dyDescent="0.25">
      <c r="F25" s="66">
        <f t="shared" si="2"/>
        <v>2041</v>
      </c>
      <c r="G25" s="67" t="e">
        <f t="shared" si="6"/>
        <v>#DIV/0!</v>
      </c>
      <c r="H25" s="65" t="e">
        <f>IF(AND(F25&gt;=Year_Open_to_Traffic?,F25&lt;Year_Open_to_Traffic?+'Assumed Values'!C$8),1,0)</f>
        <v>#N/A</v>
      </c>
      <c r="I25" s="69" t="e">
        <f>IF(F25=Year_Open_to_Traffic?,Calculations!$C$11,(I24+I24*G25))</f>
        <v>#N/A</v>
      </c>
      <c r="J25" s="69" t="e">
        <f>H25*(I25*'Assumed Values'!$C$6)</f>
        <v>#N/A</v>
      </c>
      <c r="K25" s="80" t="e">
        <f t="shared" si="3"/>
        <v>#N/A</v>
      </c>
      <c r="L25" s="71" t="e">
        <f>K25*INDEX('Value of Emissions'!C$4:C$34,MATCH(F25,'Value of Emissions'!B$4:B$34,1))</f>
        <v>#N/A</v>
      </c>
      <c r="M25" s="72" t="e">
        <f t="shared" si="4"/>
        <v>#N/A</v>
      </c>
      <c r="N25" s="69" t="e">
        <f>H25*(I25*'Assumed Values'!$C$5)</f>
        <v>#N/A</v>
      </c>
      <c r="O25" s="80" t="e">
        <f t="shared" si="1"/>
        <v>#N/A</v>
      </c>
      <c r="P25" s="71" t="e">
        <f>K25*INDEX('Value of Emissions'!D$4:D$34,MATCH(F25,'Value of Emissions'!B$4:B$34,1))</f>
        <v>#N/A</v>
      </c>
      <c r="Q25" s="72" t="e">
        <f t="shared" si="5"/>
        <v>#N/A</v>
      </c>
    </row>
    <row r="26" spans="2:17" x14ac:dyDescent="0.25">
      <c r="F26" s="12">
        <f t="shared" si="2"/>
        <v>2042</v>
      </c>
      <c r="G26" s="67" t="e">
        <f t="shared" si="6"/>
        <v>#DIV/0!</v>
      </c>
      <c r="H26" s="65" t="e">
        <f>IF(AND(F26&gt;=Year_Open_to_Traffic?,F26&lt;Year_Open_to_Traffic?+'Assumed Values'!C$8),1,0)</f>
        <v>#N/A</v>
      </c>
      <c r="I26" s="69" t="e">
        <f>IF(F26=Year_Open_to_Traffic?,Calculations!$C$11,(I25+I25*G26))</f>
        <v>#N/A</v>
      </c>
      <c r="J26" s="69" t="e">
        <f>H26*(I26*'Assumed Values'!$C$6)</f>
        <v>#N/A</v>
      </c>
      <c r="K26" s="80" t="e">
        <f t="shared" si="3"/>
        <v>#N/A</v>
      </c>
      <c r="L26" s="71" t="e">
        <f>K26*INDEX('Value of Emissions'!C$4:C$34,MATCH(F26,'Value of Emissions'!B$4:B$34,1))</f>
        <v>#N/A</v>
      </c>
      <c r="M26" s="72" t="e">
        <f t="shared" si="4"/>
        <v>#N/A</v>
      </c>
      <c r="N26" s="69" t="e">
        <f>H26*(I26*'Assumed Values'!$C$5)</f>
        <v>#N/A</v>
      </c>
      <c r="O26" s="80" t="e">
        <f t="shared" si="1"/>
        <v>#N/A</v>
      </c>
      <c r="P26" s="71" t="e">
        <f>K26*INDEX('Value of Emissions'!D$4:D$34,MATCH(F26,'Value of Emissions'!B$4:B$34,1))</f>
        <v>#N/A</v>
      </c>
      <c r="Q26" s="72" t="e">
        <f t="shared" si="5"/>
        <v>#N/A</v>
      </c>
    </row>
    <row r="27" spans="2:17" x14ac:dyDescent="0.25">
      <c r="F27" s="66">
        <f t="shared" si="2"/>
        <v>2043</v>
      </c>
      <c r="G27" s="67" t="e">
        <f t="shared" si="6"/>
        <v>#DIV/0!</v>
      </c>
      <c r="H27" s="65" t="e">
        <f>IF(AND(F27&gt;=Year_Open_to_Traffic?,F27&lt;Year_Open_to_Traffic?+'Assumed Values'!C$8),1,0)</f>
        <v>#N/A</v>
      </c>
      <c r="I27" s="69" t="e">
        <f>IF(F27=Year_Open_to_Traffic?,Calculations!$C$11,(I26+I26*G27))</f>
        <v>#N/A</v>
      </c>
      <c r="J27" s="69" t="e">
        <f>H27*(I27*'Assumed Values'!$C$6)</f>
        <v>#N/A</v>
      </c>
      <c r="K27" s="80" t="e">
        <f t="shared" si="3"/>
        <v>#N/A</v>
      </c>
      <c r="L27" s="71" t="e">
        <f>K27*INDEX('Value of Emissions'!C$4:C$34,MATCH(F27,'Value of Emissions'!B$4:B$34,1))</f>
        <v>#N/A</v>
      </c>
      <c r="M27" s="72" t="e">
        <f t="shared" si="4"/>
        <v>#N/A</v>
      </c>
      <c r="N27" s="69" t="e">
        <f>H27*(I27*'Assumed Values'!$C$5)</f>
        <v>#N/A</v>
      </c>
      <c r="O27" s="80" t="e">
        <f t="shared" si="1"/>
        <v>#N/A</v>
      </c>
      <c r="P27" s="71" t="e">
        <f>K27*INDEX('Value of Emissions'!D$4:D$34,MATCH(F27,'Value of Emissions'!B$4:B$34,1))</f>
        <v>#N/A</v>
      </c>
      <c r="Q27" s="72" t="e">
        <f t="shared" si="5"/>
        <v>#N/A</v>
      </c>
    </row>
    <row r="28" spans="2:17" x14ac:dyDescent="0.25">
      <c r="F28" s="66">
        <f t="shared" si="2"/>
        <v>2044</v>
      </c>
      <c r="G28" s="67" t="e">
        <f t="shared" si="6"/>
        <v>#DIV/0!</v>
      </c>
      <c r="H28" s="65" t="e">
        <f>IF(AND(F28&gt;=Year_Open_to_Traffic?,F28&lt;Year_Open_to_Traffic?+'Assumed Values'!C$8),1,0)</f>
        <v>#N/A</v>
      </c>
      <c r="I28" s="69" t="e">
        <f>IF(F28=Year_Open_to_Traffic?,Calculations!$C$11,(I27+I27*G28))</f>
        <v>#N/A</v>
      </c>
      <c r="J28" s="69" t="e">
        <f>H28*(I28*'Assumed Values'!$C$6)</f>
        <v>#N/A</v>
      </c>
      <c r="K28" s="80" t="e">
        <f t="shared" si="3"/>
        <v>#N/A</v>
      </c>
      <c r="L28" s="71" t="e">
        <f>K28*INDEX('Value of Emissions'!C$4:C$34,MATCH(F28,'Value of Emissions'!B$4:B$34,1))</f>
        <v>#N/A</v>
      </c>
      <c r="M28" s="72" t="e">
        <f t="shared" si="4"/>
        <v>#N/A</v>
      </c>
      <c r="N28" s="69" t="e">
        <f>H28*(I28*'Assumed Values'!$C$5)</f>
        <v>#N/A</v>
      </c>
      <c r="O28" s="80" t="e">
        <f t="shared" si="1"/>
        <v>#N/A</v>
      </c>
      <c r="P28" s="71" t="e">
        <f>K28*INDEX('Value of Emissions'!D$4:D$34,MATCH(F28,'Value of Emissions'!B$4:B$34,1))</f>
        <v>#N/A</v>
      </c>
      <c r="Q28" s="72" t="e">
        <f t="shared" si="5"/>
        <v>#N/A</v>
      </c>
    </row>
    <row r="29" spans="2:17" x14ac:dyDescent="0.25">
      <c r="F29" s="66">
        <f t="shared" si="2"/>
        <v>2045</v>
      </c>
      <c r="G29" s="67" t="e">
        <f t="shared" si="6"/>
        <v>#DIV/0!</v>
      </c>
      <c r="H29" s="65" t="e">
        <f>IF(AND(F29&gt;=Year_Open_to_Traffic?,F29&lt;Year_Open_to_Traffic?+'Assumed Values'!C$8),1,0)</f>
        <v>#N/A</v>
      </c>
      <c r="I29" s="69" t="e">
        <f>IF(F29=Year_Open_to_Traffic?,Calculations!$C$11,(I28+I28*G29))</f>
        <v>#N/A</v>
      </c>
      <c r="J29" s="69" t="e">
        <f>H29*(I29*'Assumed Values'!$C$6)</f>
        <v>#N/A</v>
      </c>
      <c r="K29" s="80" t="e">
        <f t="shared" si="3"/>
        <v>#N/A</v>
      </c>
      <c r="L29" s="71" t="e">
        <f>K29*INDEX('Value of Emissions'!C$4:C$34,MATCH(F29,'Value of Emissions'!B$4:B$34,1))</f>
        <v>#N/A</v>
      </c>
      <c r="M29" s="72" t="e">
        <f t="shared" si="4"/>
        <v>#N/A</v>
      </c>
      <c r="N29" s="69" t="e">
        <f>H29*(I29*'Assumed Values'!$C$5)</f>
        <v>#N/A</v>
      </c>
      <c r="O29" s="80" t="e">
        <f t="shared" si="1"/>
        <v>#N/A</v>
      </c>
      <c r="P29" s="71" t="e">
        <f>K29*INDEX('Value of Emissions'!D$4:D$34,MATCH(F29,'Value of Emissions'!B$4:B$34,1))</f>
        <v>#N/A</v>
      </c>
      <c r="Q29" s="72" t="e">
        <f t="shared" si="5"/>
        <v>#N/A</v>
      </c>
    </row>
    <row r="30" spans="2:17" x14ac:dyDescent="0.25">
      <c r="F30" s="66">
        <f t="shared" si="2"/>
        <v>2046</v>
      </c>
      <c r="G30" s="67" t="e">
        <f t="shared" si="6"/>
        <v>#DIV/0!</v>
      </c>
      <c r="H30" s="65" t="e">
        <f>IF(AND(F30&gt;=Year_Open_to_Traffic?,F30&lt;Year_Open_to_Traffic?+'Assumed Values'!C$8),1,0)</f>
        <v>#N/A</v>
      </c>
      <c r="I30" s="69" t="e">
        <f>IF(F30=Year_Open_to_Traffic?,Calculations!$C$11,(I29+I29*G30))</f>
        <v>#N/A</v>
      </c>
      <c r="J30" s="69" t="e">
        <f>H30*(I30*'Assumed Values'!$C$6)</f>
        <v>#N/A</v>
      </c>
      <c r="K30" s="80" t="e">
        <f t="shared" si="3"/>
        <v>#N/A</v>
      </c>
      <c r="L30" s="71" t="e">
        <f>K30*INDEX('Value of Emissions'!C$4:C$34,MATCH(F30,'Value of Emissions'!B$4:B$34,1))</f>
        <v>#N/A</v>
      </c>
      <c r="M30" s="72" t="e">
        <f t="shared" si="4"/>
        <v>#N/A</v>
      </c>
      <c r="N30" s="69" t="e">
        <f>H30*(I30*'Assumed Values'!$C$5)</f>
        <v>#N/A</v>
      </c>
      <c r="O30" s="80" t="e">
        <f t="shared" si="1"/>
        <v>#N/A</v>
      </c>
      <c r="P30" s="71" t="e">
        <f>K30*INDEX('Value of Emissions'!D$4:D$34,MATCH(F30,'Value of Emissions'!B$4:B$34,1))</f>
        <v>#N/A</v>
      </c>
      <c r="Q30" s="72" t="e">
        <f t="shared" si="5"/>
        <v>#N/A</v>
      </c>
    </row>
    <row r="31" spans="2:17" x14ac:dyDescent="0.25">
      <c r="F31" s="66">
        <f t="shared" si="2"/>
        <v>2047</v>
      </c>
      <c r="G31" s="67" t="e">
        <f t="shared" si="6"/>
        <v>#DIV/0!</v>
      </c>
      <c r="H31" s="65" t="e">
        <f>IF(AND(F31&gt;=Year_Open_to_Traffic?,F31&lt;Year_Open_to_Traffic?+'Assumed Values'!C$8),1,0)</f>
        <v>#N/A</v>
      </c>
      <c r="I31" s="69" t="e">
        <f>IF(F31=Year_Open_to_Traffic?,Calculations!$C$11,(I30+I30*G31))</f>
        <v>#N/A</v>
      </c>
      <c r="J31" s="69" t="e">
        <f>H31*(I31*'Assumed Values'!$C$6)</f>
        <v>#N/A</v>
      </c>
      <c r="K31" s="80" t="e">
        <f t="shared" si="3"/>
        <v>#N/A</v>
      </c>
      <c r="L31" s="71" t="e">
        <f>K31*INDEX('Value of Emissions'!C$4:C$34,MATCH(F31,'Value of Emissions'!B$4:B$34,1))</f>
        <v>#N/A</v>
      </c>
      <c r="M31" s="72" t="e">
        <f t="shared" si="4"/>
        <v>#N/A</v>
      </c>
      <c r="N31" s="69" t="e">
        <f>H31*(I31*'Assumed Values'!$C$5)</f>
        <v>#N/A</v>
      </c>
      <c r="O31" s="80" t="e">
        <f t="shared" si="1"/>
        <v>#N/A</v>
      </c>
      <c r="P31" s="71" t="e">
        <f>K31*INDEX('Value of Emissions'!D$4:D$34,MATCH(F31,'Value of Emissions'!B$4:B$34,1))</f>
        <v>#N/A</v>
      </c>
      <c r="Q31" s="72" t="e">
        <f t="shared" si="5"/>
        <v>#N/A</v>
      </c>
    </row>
    <row r="32" spans="2:17" x14ac:dyDescent="0.25">
      <c r="F32" s="66">
        <f t="shared" si="2"/>
        <v>2048</v>
      </c>
      <c r="G32" s="67" t="e">
        <f t="shared" si="6"/>
        <v>#DIV/0!</v>
      </c>
      <c r="H32" s="65" t="e">
        <f>IF(AND(F32&gt;=Year_Open_to_Traffic?,F32&lt;Year_Open_to_Traffic?+'Assumed Values'!C$8),1,0)</f>
        <v>#N/A</v>
      </c>
      <c r="I32" s="69" t="e">
        <f>IF(F32=Year_Open_to_Traffic?,Calculations!$C$11,(I31+I31*G32))</f>
        <v>#N/A</v>
      </c>
      <c r="J32" s="69" t="e">
        <f>H32*(I32*'Assumed Values'!$C$6)</f>
        <v>#N/A</v>
      </c>
      <c r="K32" s="80" t="e">
        <f t="shared" si="3"/>
        <v>#N/A</v>
      </c>
      <c r="L32" s="71" t="e">
        <f>K32*INDEX('Value of Emissions'!C$4:C$34,MATCH(F32,'Value of Emissions'!B$4:B$34,1))</f>
        <v>#N/A</v>
      </c>
      <c r="M32" s="72" t="e">
        <f t="shared" si="4"/>
        <v>#N/A</v>
      </c>
      <c r="N32" s="69" t="e">
        <f>H32*(I32*'Assumed Values'!$C$5)</f>
        <v>#N/A</v>
      </c>
      <c r="O32" s="80" t="e">
        <f t="shared" si="1"/>
        <v>#N/A</v>
      </c>
      <c r="P32" s="71" t="e">
        <f>K32*INDEX('Value of Emissions'!D$4:D$34,MATCH(F32,'Value of Emissions'!B$4:B$34,1))</f>
        <v>#N/A</v>
      </c>
      <c r="Q32" s="72" t="e">
        <f t="shared" si="5"/>
        <v>#N/A</v>
      </c>
    </row>
    <row r="33" spans="6:17" x14ac:dyDescent="0.25">
      <c r="F33" s="66">
        <f t="shared" si="2"/>
        <v>2049</v>
      </c>
      <c r="G33" s="67" t="e">
        <f t="shared" si="6"/>
        <v>#DIV/0!</v>
      </c>
      <c r="H33" s="65" t="e">
        <f>IF(AND(F33&gt;=Year_Open_to_Traffic?,F33&lt;Year_Open_to_Traffic?+'Assumed Values'!C$8),1,0)</f>
        <v>#N/A</v>
      </c>
      <c r="I33" s="69" t="e">
        <f>IF(F33=Year_Open_to_Traffic?,Calculations!$C$11,(I32+I32*G33))</f>
        <v>#N/A</v>
      </c>
      <c r="J33" s="69" t="e">
        <f>H33*(I33*'Assumed Values'!$C$6)</f>
        <v>#N/A</v>
      </c>
      <c r="K33" s="80" t="e">
        <f t="shared" si="3"/>
        <v>#N/A</v>
      </c>
      <c r="L33" s="71" t="e">
        <f>K33*INDEX('Value of Emissions'!C$4:C$34,MATCH(F33,'Value of Emissions'!B$4:B$34,1))</f>
        <v>#N/A</v>
      </c>
      <c r="M33" s="72" t="e">
        <f t="shared" si="4"/>
        <v>#N/A</v>
      </c>
      <c r="N33" s="69" t="e">
        <f>H33*(I33*'Assumed Values'!$C$5)</f>
        <v>#N/A</v>
      </c>
      <c r="O33" s="80" t="e">
        <f t="shared" si="1"/>
        <v>#N/A</v>
      </c>
      <c r="P33" s="71" t="e">
        <f>K33*INDEX('Value of Emissions'!D$4:D$34,MATCH(F33,'Value of Emissions'!B$4:B$34,1))</f>
        <v>#N/A</v>
      </c>
      <c r="Q33" s="72" t="e">
        <f t="shared" si="5"/>
        <v>#N/A</v>
      </c>
    </row>
    <row r="34" spans="6:17" x14ac:dyDescent="0.25">
      <c r="F34" s="66">
        <f t="shared" si="2"/>
        <v>2050</v>
      </c>
      <c r="G34" s="67" t="e">
        <f t="shared" si="6"/>
        <v>#DIV/0!</v>
      </c>
      <c r="H34" s="65" t="e">
        <f>IF(AND(F34&gt;=Year_Open_to_Traffic?,F34&lt;Year_Open_to_Traffic?+'Assumed Values'!C$8),1,0)</f>
        <v>#N/A</v>
      </c>
      <c r="I34" s="69" t="e">
        <f>IF(F34=Year_Open_to_Traffic?,Calculations!$C$11,(I33+I33*G34))</f>
        <v>#N/A</v>
      </c>
      <c r="J34" s="69" t="e">
        <f>H34*(I34*'Assumed Values'!$C$6)</f>
        <v>#N/A</v>
      </c>
      <c r="K34" s="80" t="e">
        <f t="shared" si="3"/>
        <v>#N/A</v>
      </c>
      <c r="L34" s="71" t="e">
        <f>K34*INDEX('Value of Emissions'!C$4:C$34,MATCH(F34,'Value of Emissions'!B$4:B$34,1))</f>
        <v>#N/A</v>
      </c>
      <c r="M34" s="72" t="e">
        <f t="shared" si="4"/>
        <v>#N/A</v>
      </c>
      <c r="N34" s="69" t="e">
        <f>H34*(I34*'Assumed Values'!$C$5)</f>
        <v>#N/A</v>
      </c>
      <c r="O34" s="80" t="e">
        <f t="shared" si="1"/>
        <v>#N/A</v>
      </c>
      <c r="P34" s="71" t="e">
        <f>K34*INDEX('Value of Emissions'!D$4:D$34,MATCH(F34,'Value of Emissions'!B$4:B$34,1))</f>
        <v>#N/A</v>
      </c>
      <c r="Q34" s="72" t="e">
        <f t="shared" si="5"/>
        <v>#N/A</v>
      </c>
    </row>
    <row r="35" spans="6:17" x14ac:dyDescent="0.25">
      <c r="F35" s="13" t="s">
        <v>57</v>
      </c>
      <c r="G35" s="13"/>
      <c r="H35" s="69"/>
      <c r="I35" s="68"/>
      <c r="J35" s="69"/>
      <c r="K35" s="70" t="e">
        <f>SUM(K5:K34)</f>
        <v>#N/A</v>
      </c>
      <c r="L35" s="71" t="e">
        <f>SUM(L5:L34)</f>
        <v>#N/A</v>
      </c>
      <c r="M35" s="72" t="e">
        <f>SUM(M5:M34)</f>
        <v>#N/A</v>
      </c>
      <c r="N35" s="69"/>
      <c r="O35" s="70" t="e">
        <f>SUM(O5:O34)</f>
        <v>#N/A</v>
      </c>
      <c r="P35" s="80" t="e">
        <f>SUM(P5:P34)</f>
        <v>#N/A</v>
      </c>
      <c r="Q35" s="72" t="e">
        <f>SUM(Q5:Q34)</f>
        <v>#N/A</v>
      </c>
    </row>
  </sheetData>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A2:J31"/>
  <sheetViews>
    <sheetView zoomScale="130" zoomScaleNormal="130" workbookViewId="0">
      <selection activeCell="D9" sqref="D9"/>
    </sheetView>
  </sheetViews>
  <sheetFormatPr defaultRowHeight="15" x14ac:dyDescent="0.25"/>
  <cols>
    <col min="1" max="1" width="3.42578125" customWidth="1"/>
    <col min="2" max="2" width="62.42578125" bestFit="1" customWidth="1"/>
    <col min="3" max="3" width="34.7109375" bestFit="1" customWidth="1"/>
    <col min="4" max="4" width="31.42578125" customWidth="1"/>
    <col min="6" max="6" width="9.140625" style="78"/>
    <col min="7" max="7" width="20.5703125" customWidth="1"/>
    <col min="8" max="8" width="16" bestFit="1" customWidth="1"/>
  </cols>
  <sheetData>
    <row r="2" spans="1:10" x14ac:dyDescent="0.25">
      <c r="B2" s="2" t="s">
        <v>100</v>
      </c>
    </row>
    <row r="4" spans="1:10" x14ac:dyDescent="0.25">
      <c r="B4" s="28" t="s">
        <v>125</v>
      </c>
    </row>
    <row r="5" spans="1:10" x14ac:dyDescent="0.25">
      <c r="B5" s="29" t="s">
        <v>20</v>
      </c>
      <c r="C5" s="93" t="e">
        <f>INDEX('Emission Factors - VOC'!C4:J19,MATCH(C9,'Emission Factors - VOC'!B4:B19,1),MATCH('Inputs &amp; Outputs'!B11,'Emission Factors - VOC'!C3:J3,0))</f>
        <v>#N/A</v>
      </c>
      <c r="D5" s="142" t="s">
        <v>137</v>
      </c>
    </row>
    <row r="6" spans="1:10" x14ac:dyDescent="0.25">
      <c r="B6" s="29" t="s">
        <v>21</v>
      </c>
      <c r="C6" s="93" t="e">
        <f>INDEX('Emission Factors - NOx'!C4:J19,MATCH(C9,'Emission Factors - NOx'!B4:B19,1),MATCH('Inputs &amp; Outputs'!B11,'Emission Factors - NOx'!C3:J3,0))</f>
        <v>#N/A</v>
      </c>
      <c r="D6" s="142"/>
    </row>
    <row r="7" spans="1:10" x14ac:dyDescent="0.25">
      <c r="B7" s="29" t="s">
        <v>108</v>
      </c>
      <c r="C7" s="104">
        <f>'Inputs &amp; Outputs'!B13</f>
        <v>0</v>
      </c>
      <c r="G7" s="78"/>
      <c r="I7" s="78"/>
      <c r="J7" s="78"/>
    </row>
    <row r="8" spans="1:10" x14ac:dyDescent="0.25">
      <c r="B8" s="29" t="s">
        <v>55</v>
      </c>
      <c r="C8" s="30" t="e">
        <f>INDEX('Service Life'!D4:D11,MATCH(C7,'Service Life'!C4:C11,0))</f>
        <v>#N/A</v>
      </c>
      <c r="D8" s="115" t="s">
        <v>138</v>
      </c>
    </row>
    <row r="9" spans="1:10" x14ac:dyDescent="0.25">
      <c r="B9" s="29" t="s">
        <v>99</v>
      </c>
      <c r="C9" s="30">
        <v>25</v>
      </c>
      <c r="D9" s="78" t="s">
        <v>109</v>
      </c>
      <c r="E9" s="78"/>
    </row>
    <row r="10" spans="1:10" s="78" customFormat="1" x14ac:dyDescent="0.25">
      <c r="A10"/>
      <c r="B10" s="81"/>
      <c r="C10" s="82"/>
    </row>
    <row r="11" spans="1:10" x14ac:dyDescent="0.25">
      <c r="A11" s="78"/>
      <c r="B11" s="15" t="s">
        <v>1</v>
      </c>
      <c r="D11" s="78"/>
      <c r="E11" s="78"/>
    </row>
    <row r="12" spans="1:10" s="78" customFormat="1" x14ac:dyDescent="0.25">
      <c r="B12" s="16" t="s">
        <v>88</v>
      </c>
      <c r="C12" s="16">
        <v>1.39</v>
      </c>
    </row>
    <row r="13" spans="1:10" s="78" customFormat="1" x14ac:dyDescent="0.25">
      <c r="B13" s="16" t="s">
        <v>87</v>
      </c>
      <c r="C13" s="16">
        <v>260</v>
      </c>
    </row>
    <row r="14" spans="1:10" s="78" customFormat="1" x14ac:dyDescent="0.25">
      <c r="B14"/>
      <c r="C14"/>
      <c r="D14"/>
      <c r="E14"/>
    </row>
    <row r="16" spans="1:10" s="78" customFormat="1" ht="15.75" thickBot="1" x14ac:dyDescent="0.3">
      <c r="B16" s="2" t="s">
        <v>122</v>
      </c>
    </row>
    <row r="17" spans="2:7" s="78" customFormat="1" x14ac:dyDescent="0.25">
      <c r="B17" s="122" t="s">
        <v>123</v>
      </c>
      <c r="C17" s="123" t="s">
        <v>115</v>
      </c>
      <c r="D17" s="132" t="s">
        <v>124</v>
      </c>
      <c r="E17" s="123" t="s">
        <v>116</v>
      </c>
      <c r="F17" s="123" t="s">
        <v>117</v>
      </c>
      <c r="G17" s="124" t="s">
        <v>118</v>
      </c>
    </row>
    <row r="18" spans="2:7" s="78" customFormat="1" x14ac:dyDescent="0.25">
      <c r="B18" s="125">
        <v>1</v>
      </c>
      <c r="C18" s="120">
        <v>0.57399999999999995</v>
      </c>
      <c r="D18" s="121">
        <f>E18+F18</f>
        <v>0.42500000000000004</v>
      </c>
      <c r="E18" s="133">
        <v>0.39600000000000002</v>
      </c>
      <c r="F18" s="133">
        <v>2.9000000000000001E-2</v>
      </c>
      <c r="G18" s="126" t="s">
        <v>119</v>
      </c>
    </row>
    <row r="19" spans="2:7" ht="15.75" thickBot="1" x14ac:dyDescent="0.3">
      <c r="B19" s="137">
        <v>5</v>
      </c>
      <c r="C19" s="127">
        <v>0.81299999999999994</v>
      </c>
      <c r="D19" s="128">
        <f>E19+F19</f>
        <v>0.187</v>
      </c>
      <c r="E19" s="134">
        <v>0.02</v>
      </c>
      <c r="F19" s="134">
        <v>0.16700000000000001</v>
      </c>
      <c r="G19" s="129" t="s">
        <v>120</v>
      </c>
    </row>
    <row r="20" spans="2:7" x14ac:dyDescent="0.25">
      <c r="B20" s="117" t="s">
        <v>121</v>
      </c>
      <c r="C20" s="116"/>
      <c r="D20" s="116"/>
      <c r="E20" s="116"/>
      <c r="F20" s="116"/>
      <c r="G20" s="116"/>
    </row>
    <row r="21" spans="2:7" x14ac:dyDescent="0.25">
      <c r="B21" s="78"/>
    </row>
    <row r="22" spans="2:7" ht="15.75" thickBot="1" x14ac:dyDescent="0.3">
      <c r="B22" s="118" t="s">
        <v>101</v>
      </c>
    </row>
    <row r="23" spans="2:7" x14ac:dyDescent="0.25">
      <c r="B23" s="119"/>
    </row>
    <row r="24" spans="2:7" x14ac:dyDescent="0.25">
      <c r="B24" s="94" t="s">
        <v>63</v>
      </c>
    </row>
    <row r="25" spans="2:7" x14ac:dyDescent="0.25">
      <c r="B25" s="94" t="s">
        <v>64</v>
      </c>
    </row>
    <row r="26" spans="2:7" x14ac:dyDescent="0.25">
      <c r="B26" s="94" t="s">
        <v>65</v>
      </c>
    </row>
    <row r="27" spans="2:7" x14ac:dyDescent="0.25">
      <c r="B27" s="94" t="s">
        <v>66</v>
      </c>
    </row>
    <row r="28" spans="2:7" x14ac:dyDescent="0.25">
      <c r="B28" s="94" t="s">
        <v>67</v>
      </c>
    </row>
    <row r="29" spans="2:7" x14ac:dyDescent="0.25">
      <c r="B29" s="94" t="s">
        <v>68</v>
      </c>
    </row>
    <row r="30" spans="2:7" x14ac:dyDescent="0.25">
      <c r="B30" s="94" t="s">
        <v>69</v>
      </c>
    </row>
    <row r="31" spans="2:7" ht="15.75" thickBot="1" x14ac:dyDescent="0.3">
      <c r="B31" s="95" t="s">
        <v>70</v>
      </c>
    </row>
  </sheetData>
  <mergeCells count="1">
    <mergeCell ref="D5:D6"/>
  </mergeCells>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1:F36"/>
  <sheetViews>
    <sheetView workbookViewId="0">
      <selection activeCell="L36" sqref="L36"/>
    </sheetView>
  </sheetViews>
  <sheetFormatPr defaultRowHeight="15" x14ac:dyDescent="0.25"/>
  <cols>
    <col min="1" max="1" width="2.85546875" customWidth="1"/>
    <col min="2" max="3" width="15.7109375" customWidth="1"/>
    <col min="4" max="4" width="15.7109375" style="78" customWidth="1"/>
    <col min="5" max="6" width="15.7109375" customWidth="1"/>
  </cols>
  <sheetData>
    <row r="1" spans="2:6" x14ac:dyDescent="0.25">
      <c r="B1" s="111" t="s">
        <v>114</v>
      </c>
    </row>
    <row r="2" spans="2:6" ht="15.75" thickBot="1" x14ac:dyDescent="0.3">
      <c r="B2" s="3"/>
    </row>
    <row r="3" spans="2:6" x14ac:dyDescent="0.25">
      <c r="B3" s="112" t="s">
        <v>13</v>
      </c>
      <c r="C3" s="113" t="s">
        <v>110</v>
      </c>
      <c r="D3" s="113" t="s">
        <v>135</v>
      </c>
      <c r="E3" s="113" t="s">
        <v>111</v>
      </c>
      <c r="F3" s="114" t="s">
        <v>112</v>
      </c>
    </row>
    <row r="4" spans="2:6" x14ac:dyDescent="0.25">
      <c r="B4" s="109">
        <v>2020</v>
      </c>
      <c r="C4" s="105">
        <v>15700</v>
      </c>
      <c r="D4" s="105">
        <v>729300</v>
      </c>
      <c r="E4" s="105">
        <v>40400</v>
      </c>
      <c r="F4" s="106">
        <v>50</v>
      </c>
    </row>
    <row r="5" spans="2:6" x14ac:dyDescent="0.25">
      <c r="B5" s="109">
        <v>2021</v>
      </c>
      <c r="C5" s="105">
        <v>15900</v>
      </c>
      <c r="D5" s="105">
        <v>742300</v>
      </c>
      <c r="E5" s="105">
        <v>41300</v>
      </c>
      <c r="F5" s="106">
        <v>52</v>
      </c>
    </row>
    <row r="6" spans="2:6" x14ac:dyDescent="0.25">
      <c r="B6" s="109">
        <v>2022</v>
      </c>
      <c r="C6" s="105">
        <v>16100</v>
      </c>
      <c r="D6" s="105">
        <v>755500</v>
      </c>
      <c r="E6" s="105">
        <v>42100</v>
      </c>
      <c r="F6" s="106">
        <v>53</v>
      </c>
    </row>
    <row r="7" spans="2:6" x14ac:dyDescent="0.25">
      <c r="B7" s="109">
        <v>2023</v>
      </c>
      <c r="C7" s="105">
        <v>16400</v>
      </c>
      <c r="D7" s="105">
        <v>769000</v>
      </c>
      <c r="E7" s="105">
        <v>43000</v>
      </c>
      <c r="F7" s="106">
        <v>54</v>
      </c>
    </row>
    <row r="8" spans="2:6" x14ac:dyDescent="0.25">
      <c r="B8" s="109">
        <v>2024</v>
      </c>
      <c r="C8" s="105">
        <v>16600</v>
      </c>
      <c r="D8" s="105">
        <v>782700</v>
      </c>
      <c r="E8" s="105">
        <v>43900</v>
      </c>
      <c r="F8" s="106">
        <v>55</v>
      </c>
    </row>
    <row r="9" spans="2:6" x14ac:dyDescent="0.25">
      <c r="B9" s="109">
        <v>2025</v>
      </c>
      <c r="C9" s="105">
        <v>16800</v>
      </c>
      <c r="D9" s="105">
        <v>796600</v>
      </c>
      <c r="E9" s="105">
        <v>44900</v>
      </c>
      <c r="F9" s="106">
        <v>56</v>
      </c>
    </row>
    <row r="10" spans="2:6" x14ac:dyDescent="0.25">
      <c r="B10" s="109">
        <v>2026</v>
      </c>
      <c r="C10" s="105">
        <v>17000</v>
      </c>
      <c r="D10" s="105">
        <v>807500</v>
      </c>
      <c r="E10" s="105">
        <v>45500</v>
      </c>
      <c r="F10" s="106">
        <v>57</v>
      </c>
    </row>
    <row r="11" spans="2:6" x14ac:dyDescent="0.25">
      <c r="B11" s="109">
        <v>2027</v>
      </c>
      <c r="C11" s="105">
        <v>17300</v>
      </c>
      <c r="D11" s="105">
        <v>818600</v>
      </c>
      <c r="E11" s="105">
        <v>46200</v>
      </c>
      <c r="F11" s="106">
        <v>58</v>
      </c>
    </row>
    <row r="12" spans="2:6" x14ac:dyDescent="0.25">
      <c r="B12" s="109">
        <v>2028</v>
      </c>
      <c r="C12" s="105">
        <v>17500</v>
      </c>
      <c r="D12" s="105">
        <v>829800</v>
      </c>
      <c r="E12" s="105">
        <v>46900</v>
      </c>
      <c r="F12" s="106">
        <v>59</v>
      </c>
    </row>
    <row r="13" spans="2:6" x14ac:dyDescent="0.25">
      <c r="B13" s="109">
        <v>2029</v>
      </c>
      <c r="C13" s="105">
        <v>17700</v>
      </c>
      <c r="D13" s="105">
        <v>841200</v>
      </c>
      <c r="E13" s="105">
        <v>47600</v>
      </c>
      <c r="F13" s="106">
        <v>60</v>
      </c>
    </row>
    <row r="14" spans="2:6" x14ac:dyDescent="0.25">
      <c r="B14" s="109">
        <v>2030</v>
      </c>
      <c r="C14" s="105">
        <v>18000</v>
      </c>
      <c r="D14" s="105">
        <v>852700</v>
      </c>
      <c r="E14" s="105">
        <v>48200</v>
      </c>
      <c r="F14" s="106">
        <v>61</v>
      </c>
    </row>
    <row r="15" spans="2:6" x14ac:dyDescent="0.25">
      <c r="B15" s="109">
        <v>2031</v>
      </c>
      <c r="C15" s="105">
        <v>18000</v>
      </c>
      <c r="D15" s="105">
        <v>852700</v>
      </c>
      <c r="E15" s="105">
        <v>48200</v>
      </c>
      <c r="F15" s="106">
        <v>62</v>
      </c>
    </row>
    <row r="16" spans="2:6" x14ac:dyDescent="0.25">
      <c r="B16" s="109">
        <v>2032</v>
      </c>
      <c r="C16" s="105">
        <v>18000</v>
      </c>
      <c r="D16" s="105">
        <v>852700</v>
      </c>
      <c r="E16" s="105">
        <v>48200</v>
      </c>
      <c r="F16" s="106">
        <v>63</v>
      </c>
    </row>
    <row r="17" spans="2:6" x14ac:dyDescent="0.25">
      <c r="B17" s="109">
        <v>2033</v>
      </c>
      <c r="C17" s="105">
        <v>18000</v>
      </c>
      <c r="D17" s="105">
        <v>852700</v>
      </c>
      <c r="E17" s="105">
        <v>48200</v>
      </c>
      <c r="F17" s="106">
        <v>64</v>
      </c>
    </row>
    <row r="18" spans="2:6" x14ac:dyDescent="0.25">
      <c r="B18" s="109">
        <v>2034</v>
      </c>
      <c r="C18" s="105">
        <v>18000</v>
      </c>
      <c r="D18" s="105">
        <v>852700</v>
      </c>
      <c r="E18" s="105">
        <v>48200</v>
      </c>
      <c r="F18" s="106">
        <v>66</v>
      </c>
    </row>
    <row r="19" spans="2:6" x14ac:dyDescent="0.25">
      <c r="B19" s="109">
        <v>2035</v>
      </c>
      <c r="C19" s="105">
        <v>18000</v>
      </c>
      <c r="D19" s="105">
        <v>852700</v>
      </c>
      <c r="E19" s="105">
        <v>48200</v>
      </c>
      <c r="F19" s="106">
        <v>67</v>
      </c>
    </row>
    <row r="20" spans="2:6" x14ac:dyDescent="0.25">
      <c r="B20" s="109">
        <v>2036</v>
      </c>
      <c r="C20" s="105">
        <v>18000</v>
      </c>
      <c r="D20" s="105">
        <v>852700</v>
      </c>
      <c r="E20" s="105">
        <v>48200</v>
      </c>
      <c r="F20" s="106">
        <v>68</v>
      </c>
    </row>
    <row r="21" spans="2:6" x14ac:dyDescent="0.25">
      <c r="B21" s="109">
        <v>2037</v>
      </c>
      <c r="C21" s="105">
        <v>18000</v>
      </c>
      <c r="D21" s="105">
        <v>852700</v>
      </c>
      <c r="E21" s="105">
        <v>48200</v>
      </c>
      <c r="F21" s="106">
        <v>69</v>
      </c>
    </row>
    <row r="22" spans="2:6" x14ac:dyDescent="0.25">
      <c r="B22" s="109">
        <v>2038</v>
      </c>
      <c r="C22" s="105">
        <v>18000</v>
      </c>
      <c r="D22" s="105">
        <v>852700</v>
      </c>
      <c r="E22" s="105">
        <v>48200</v>
      </c>
      <c r="F22" s="106">
        <v>70</v>
      </c>
    </row>
    <row r="23" spans="2:6" x14ac:dyDescent="0.25">
      <c r="B23" s="109">
        <v>2039</v>
      </c>
      <c r="C23" s="105">
        <v>18000</v>
      </c>
      <c r="D23" s="105">
        <v>852700</v>
      </c>
      <c r="E23" s="105">
        <v>48200</v>
      </c>
      <c r="F23" s="106">
        <v>71</v>
      </c>
    </row>
    <row r="24" spans="2:6" x14ac:dyDescent="0.25">
      <c r="B24" s="109">
        <v>2040</v>
      </c>
      <c r="C24" s="105">
        <v>18000</v>
      </c>
      <c r="D24" s="105">
        <v>852700</v>
      </c>
      <c r="E24" s="105">
        <v>48200</v>
      </c>
      <c r="F24" s="106">
        <v>72</v>
      </c>
    </row>
    <row r="25" spans="2:6" x14ac:dyDescent="0.25">
      <c r="B25" s="109">
        <v>2041</v>
      </c>
      <c r="C25" s="105">
        <v>18000</v>
      </c>
      <c r="D25" s="105">
        <v>852700</v>
      </c>
      <c r="E25" s="105">
        <v>48200</v>
      </c>
      <c r="F25" s="106">
        <v>73</v>
      </c>
    </row>
    <row r="26" spans="2:6" x14ac:dyDescent="0.25">
      <c r="B26" s="109">
        <v>2042</v>
      </c>
      <c r="C26" s="105">
        <v>18000</v>
      </c>
      <c r="D26" s="105">
        <v>852700</v>
      </c>
      <c r="E26" s="105">
        <v>48200</v>
      </c>
      <c r="F26" s="106">
        <v>75</v>
      </c>
    </row>
    <row r="27" spans="2:6" x14ac:dyDescent="0.25">
      <c r="B27" s="109">
        <v>2043</v>
      </c>
      <c r="C27" s="105">
        <v>18000</v>
      </c>
      <c r="D27" s="105">
        <v>852700</v>
      </c>
      <c r="E27" s="105">
        <v>48200</v>
      </c>
      <c r="F27" s="106">
        <v>76</v>
      </c>
    </row>
    <row r="28" spans="2:6" x14ac:dyDescent="0.25">
      <c r="B28" s="109">
        <v>2044</v>
      </c>
      <c r="C28" s="105">
        <v>18000</v>
      </c>
      <c r="D28" s="105">
        <v>852700</v>
      </c>
      <c r="E28" s="105">
        <v>48200</v>
      </c>
      <c r="F28" s="106">
        <v>77</v>
      </c>
    </row>
    <row r="29" spans="2:6" x14ac:dyDescent="0.25">
      <c r="B29" s="109">
        <v>2045</v>
      </c>
      <c r="C29" s="105">
        <v>18000</v>
      </c>
      <c r="D29" s="105">
        <v>852700</v>
      </c>
      <c r="E29" s="105">
        <v>48200</v>
      </c>
      <c r="F29" s="106">
        <v>78</v>
      </c>
    </row>
    <row r="30" spans="2:6" x14ac:dyDescent="0.25">
      <c r="B30" s="109">
        <v>2046</v>
      </c>
      <c r="C30" s="105">
        <v>18000</v>
      </c>
      <c r="D30" s="105">
        <v>852700</v>
      </c>
      <c r="E30" s="105">
        <v>48200</v>
      </c>
      <c r="F30" s="106">
        <v>79</v>
      </c>
    </row>
    <row r="31" spans="2:6" x14ac:dyDescent="0.25">
      <c r="B31" s="109">
        <v>2047</v>
      </c>
      <c r="C31" s="105">
        <v>18000</v>
      </c>
      <c r="D31" s="105">
        <v>852700</v>
      </c>
      <c r="E31" s="105">
        <v>48200</v>
      </c>
      <c r="F31" s="106">
        <v>80</v>
      </c>
    </row>
    <row r="32" spans="2:6" x14ac:dyDescent="0.25">
      <c r="B32" s="109">
        <v>2048</v>
      </c>
      <c r="C32" s="105">
        <v>18000</v>
      </c>
      <c r="D32" s="105">
        <v>852700</v>
      </c>
      <c r="E32" s="105">
        <v>48200</v>
      </c>
      <c r="F32" s="106">
        <v>81</v>
      </c>
    </row>
    <row r="33" spans="2:6" x14ac:dyDescent="0.25">
      <c r="B33" s="109">
        <v>2049</v>
      </c>
      <c r="C33" s="105">
        <v>18000</v>
      </c>
      <c r="D33" s="105">
        <v>852700</v>
      </c>
      <c r="E33" s="105">
        <v>48200</v>
      </c>
      <c r="F33" s="106">
        <v>83</v>
      </c>
    </row>
    <row r="34" spans="2:6" ht="15.75" thickBot="1" x14ac:dyDescent="0.3">
      <c r="B34" s="110">
        <v>2050</v>
      </c>
      <c r="C34" s="107">
        <v>18000</v>
      </c>
      <c r="D34" s="107">
        <v>852700</v>
      </c>
      <c r="E34" s="107">
        <v>48200</v>
      </c>
      <c r="F34" s="108">
        <v>84</v>
      </c>
    </row>
    <row r="36" spans="2:6" x14ac:dyDescent="0.25">
      <c r="B36" s="77" t="s">
        <v>113</v>
      </c>
      <c r="C36" s="78"/>
      <c r="D36"/>
    </row>
  </sheetData>
  <sheetProtection selectLockedCells="1" selectUnlockedCells="1"/>
  <hyperlinks>
    <hyperlink ref="B36" r:id="rId1" location="page=35" xr:uid="{20910D13-129A-421D-983A-49311583680A}"/>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L20"/>
  <sheetViews>
    <sheetView zoomScaleNormal="100" workbookViewId="0">
      <selection activeCell="E24" sqref="E24"/>
    </sheetView>
  </sheetViews>
  <sheetFormatPr defaultRowHeight="15" x14ac:dyDescent="0.25"/>
  <cols>
    <col min="1" max="1" width="13.42578125" bestFit="1" customWidth="1"/>
    <col min="3" max="8" width="12" style="44" bestFit="1" customWidth="1"/>
    <col min="9" max="9" width="12.140625" style="44" bestFit="1" customWidth="1"/>
    <col min="10" max="10" width="12" style="44" bestFit="1" customWidth="1"/>
    <col min="11" max="11" width="12.140625" bestFit="1" customWidth="1"/>
    <col min="12" max="12" width="30" customWidth="1"/>
  </cols>
  <sheetData>
    <row r="1" spans="1:12" s="78" customFormat="1" x14ac:dyDescent="0.25">
      <c r="C1" s="44"/>
      <c r="D1" s="44"/>
      <c r="E1" s="44"/>
      <c r="F1" s="44"/>
      <c r="G1" s="44"/>
      <c r="H1" s="44"/>
      <c r="I1" s="44"/>
      <c r="J1" s="44"/>
    </row>
    <row r="2" spans="1:12" x14ac:dyDescent="0.25">
      <c r="A2" s="141" t="s">
        <v>95</v>
      </c>
      <c r="B2" s="141"/>
      <c r="C2" s="141"/>
      <c r="D2" s="141"/>
      <c r="E2" s="141"/>
      <c r="F2" s="141"/>
      <c r="G2" s="141"/>
      <c r="H2" s="141"/>
      <c r="I2" s="141"/>
      <c r="J2" s="141"/>
    </row>
    <row r="3" spans="1:12" x14ac:dyDescent="0.25">
      <c r="A3" s="84" t="s">
        <v>72</v>
      </c>
      <c r="B3" s="84" t="s">
        <v>73</v>
      </c>
      <c r="C3" s="91" t="s">
        <v>63</v>
      </c>
      <c r="D3" s="91" t="s">
        <v>64</v>
      </c>
      <c r="E3" s="91" t="s">
        <v>65</v>
      </c>
      <c r="F3" s="91" t="s">
        <v>66</v>
      </c>
      <c r="G3" s="91" t="s">
        <v>67</v>
      </c>
      <c r="H3" s="91" t="s">
        <v>68</v>
      </c>
      <c r="I3" s="91" t="s">
        <v>69</v>
      </c>
      <c r="J3" s="91" t="s">
        <v>70</v>
      </c>
    </row>
    <row r="4" spans="1:12" x14ac:dyDescent="0.25">
      <c r="A4" s="68" t="s">
        <v>75</v>
      </c>
      <c r="B4" s="68">
        <v>0</v>
      </c>
      <c r="C4" s="92">
        <v>0.16262287522355831</v>
      </c>
      <c r="D4" s="92">
        <v>0.18853533267975001</v>
      </c>
      <c r="E4" s="92">
        <v>0.15208850024889164</v>
      </c>
      <c r="F4" s="92">
        <v>0.17184858334560835</v>
      </c>
      <c r="G4" s="92">
        <v>0.16298404149710835</v>
      </c>
      <c r="H4" s="92">
        <v>0.26901470745603329</v>
      </c>
      <c r="I4" s="92">
        <v>0.1570386669288083</v>
      </c>
      <c r="J4" s="92">
        <v>0.30041004096468749</v>
      </c>
      <c r="L4" t="s">
        <v>84</v>
      </c>
    </row>
    <row r="5" spans="1:12" x14ac:dyDescent="0.25">
      <c r="A5" s="68" t="s">
        <v>75</v>
      </c>
      <c r="B5" s="68">
        <v>2.5</v>
      </c>
      <c r="C5" s="92">
        <v>0.11368562125911665</v>
      </c>
      <c r="D5" s="92">
        <v>0.13100475072860415</v>
      </c>
      <c r="E5" s="92">
        <v>0.10858566313982086</v>
      </c>
      <c r="F5" s="92">
        <v>0.11941866545628332</v>
      </c>
      <c r="G5" s="92">
        <v>0.11430195501695417</v>
      </c>
      <c r="H5" s="92">
        <v>0.18355629034340423</v>
      </c>
      <c r="I5" s="92">
        <v>0.10969171735147916</v>
      </c>
      <c r="J5" s="92">
        <v>0.20406591705977495</v>
      </c>
    </row>
    <row r="6" spans="1:12" x14ac:dyDescent="0.25">
      <c r="A6" s="68" t="s">
        <v>75</v>
      </c>
      <c r="B6" s="68">
        <v>7.5</v>
      </c>
      <c r="C6" s="92">
        <v>8.9217086943487497E-2</v>
      </c>
      <c r="D6" s="92">
        <v>0.10223935451359169</v>
      </c>
      <c r="E6" s="92">
        <v>8.6834149745604161E-2</v>
      </c>
      <c r="F6" s="92">
        <v>9.320385040094166E-2</v>
      </c>
      <c r="G6" s="92">
        <v>8.9960737153891648E-2</v>
      </c>
      <c r="H6" s="92">
        <v>0.14082679121444169</v>
      </c>
      <c r="I6" s="92">
        <v>8.6018403992062495E-2</v>
      </c>
      <c r="J6" s="92">
        <v>0.15589366604884167</v>
      </c>
      <c r="K6" s="76"/>
    </row>
    <row r="7" spans="1:12" x14ac:dyDescent="0.25">
      <c r="A7" s="68" t="s">
        <v>75</v>
      </c>
      <c r="B7" s="68">
        <v>12.5</v>
      </c>
      <c r="C7" s="92">
        <v>8.1060921152429161E-2</v>
      </c>
      <c r="D7" s="92">
        <v>9.2650917048254178E-2</v>
      </c>
      <c r="E7" s="92">
        <v>7.9583650144441659E-2</v>
      </c>
      <c r="F7" s="92">
        <v>8.4465566091237496E-2</v>
      </c>
      <c r="G7" s="92">
        <v>8.1847062334420836E-2</v>
      </c>
      <c r="H7" s="92">
        <v>0.12658370782931247</v>
      </c>
      <c r="I7" s="92">
        <v>7.8127308748662486E-2</v>
      </c>
      <c r="J7" s="92">
        <v>0.13983629116167082</v>
      </c>
      <c r="K7" s="76"/>
    </row>
    <row r="8" spans="1:12" x14ac:dyDescent="0.25">
      <c r="A8" s="68" t="s">
        <v>75</v>
      </c>
      <c r="B8" s="68">
        <v>17.5</v>
      </c>
      <c r="C8" s="92">
        <v>7.6125945275025003E-2</v>
      </c>
      <c r="D8" s="92">
        <v>8.6885874780520844E-2</v>
      </c>
      <c r="E8" s="92">
        <v>7.5052911726145824E-2</v>
      </c>
      <c r="F8" s="92">
        <v>7.9217779139666655E-2</v>
      </c>
      <c r="G8" s="92">
        <v>7.6931104374433346E-2</v>
      </c>
      <c r="H8" s="92">
        <v>0.11830395770569585</v>
      </c>
      <c r="I8" s="92">
        <v>7.3344542024029166E-2</v>
      </c>
      <c r="J8" s="92">
        <v>0.13056029037882916</v>
      </c>
      <c r="K8" s="76"/>
    </row>
    <row r="9" spans="1:12" x14ac:dyDescent="0.25">
      <c r="A9" s="68" t="s">
        <v>75</v>
      </c>
      <c r="B9" s="68">
        <v>22.5</v>
      </c>
      <c r="C9" s="92">
        <v>7.1440050067991659E-2</v>
      </c>
      <c r="D9" s="92">
        <v>8.1472125214845828E-2</v>
      </c>
      <c r="E9" s="92">
        <v>7.0511320605866679E-2</v>
      </c>
      <c r="F9" s="92">
        <v>7.4300337582825005E-2</v>
      </c>
      <c r="G9" s="92">
        <v>7.2252083569758332E-2</v>
      </c>
      <c r="H9" s="92">
        <v>0.11100383258114999</v>
      </c>
      <c r="I9" s="92">
        <v>6.8789483668916657E-2</v>
      </c>
      <c r="J9" s="92">
        <v>0.12248312557737083</v>
      </c>
      <c r="K9" s="76"/>
    </row>
    <row r="10" spans="1:12" x14ac:dyDescent="0.25">
      <c r="A10" s="68" t="s">
        <v>75</v>
      </c>
      <c r="B10" s="68">
        <v>27.5</v>
      </c>
      <c r="C10" s="92">
        <v>6.5613833566520827E-2</v>
      </c>
      <c r="D10" s="92">
        <v>7.4808367217583327E-2</v>
      </c>
      <c r="E10" s="92">
        <v>6.5148425288491657E-2</v>
      </c>
      <c r="F10" s="92">
        <v>6.8143583213295833E-2</v>
      </c>
      <c r="G10" s="92">
        <v>6.6345529009891671E-2</v>
      </c>
      <c r="H10" s="92">
        <v>0.10110767930746249</v>
      </c>
      <c r="I10" s="92">
        <v>6.3223754055795833E-2</v>
      </c>
      <c r="J10" s="92">
        <v>0.11131037461260833</v>
      </c>
      <c r="K10" s="76"/>
    </row>
    <row r="11" spans="1:12" x14ac:dyDescent="0.25">
      <c r="A11" s="68" t="s">
        <v>75</v>
      </c>
      <c r="B11" s="68">
        <v>32.5</v>
      </c>
      <c r="C11" s="92">
        <v>6.3537066336724998E-2</v>
      </c>
      <c r="D11" s="92">
        <v>7.2419308746854164E-2</v>
      </c>
      <c r="E11" s="92">
        <v>6.3360733600945823E-2</v>
      </c>
      <c r="F11" s="92">
        <v>6.5905411882941675E-2</v>
      </c>
      <c r="G11" s="92">
        <v>6.4270533776537506E-2</v>
      </c>
      <c r="H11" s="92">
        <v>9.7487371104462497E-2</v>
      </c>
      <c r="I11" s="92">
        <v>6.1223845463258326E-2</v>
      </c>
      <c r="J11" s="92">
        <v>0.10713344936568751</v>
      </c>
      <c r="K11" s="76"/>
    </row>
    <row r="12" spans="1:12" x14ac:dyDescent="0.25">
      <c r="A12" s="68" t="s">
        <v>75</v>
      </c>
      <c r="B12" s="68">
        <v>37.5</v>
      </c>
      <c r="C12" s="92">
        <v>6.2491762607054163E-2</v>
      </c>
      <c r="D12" s="92">
        <v>7.1209762245416655E-2</v>
      </c>
      <c r="E12" s="92">
        <v>6.2516995084783353E-2</v>
      </c>
      <c r="F12" s="92">
        <v>6.4758675793795836E-2</v>
      </c>
      <c r="G12" s="92">
        <v>6.3241196175424993E-2</v>
      </c>
      <c r="H12" s="92">
        <v>9.5628374566633312E-2</v>
      </c>
      <c r="I12" s="92">
        <v>6.0208820272245833E-2</v>
      </c>
      <c r="J12" s="92">
        <v>0.10494892485440001</v>
      </c>
      <c r="K12" s="76"/>
    </row>
    <row r="13" spans="1:12" x14ac:dyDescent="0.25">
      <c r="A13" s="68" t="s">
        <v>75</v>
      </c>
      <c r="B13" s="68">
        <v>42.5</v>
      </c>
      <c r="C13" s="92">
        <v>6.264657465119583E-2</v>
      </c>
      <c r="D13" s="92">
        <v>7.1370674918091667E-2</v>
      </c>
      <c r="E13" s="92">
        <v>6.286646643033332E-2</v>
      </c>
      <c r="F13" s="92">
        <v>6.4861046305550007E-2</v>
      </c>
      <c r="G13" s="92">
        <v>6.3417058438062487E-2</v>
      </c>
      <c r="H13" s="92">
        <v>9.5573974773291673E-2</v>
      </c>
      <c r="I13" s="92">
        <v>6.0357686908295828E-2</v>
      </c>
      <c r="J13" s="92">
        <v>0.10475273244082915</v>
      </c>
      <c r="K13" s="76"/>
    </row>
    <row r="14" spans="1:12" x14ac:dyDescent="0.25">
      <c r="A14" s="68" t="s">
        <v>75</v>
      </c>
      <c r="B14" s="68">
        <v>47.5</v>
      </c>
      <c r="C14" s="92">
        <v>6.4411191580191665E-2</v>
      </c>
      <c r="D14" s="92">
        <v>7.3367187132441683E-2</v>
      </c>
      <c r="E14" s="92">
        <v>6.4851174441474993E-2</v>
      </c>
      <c r="F14" s="92">
        <v>6.6628528914108337E-2</v>
      </c>
      <c r="G14" s="92">
        <v>6.5213112315791688E-2</v>
      </c>
      <c r="H14" s="92">
        <v>9.7889816388495851E-2</v>
      </c>
      <c r="I14" s="92">
        <v>6.2067487587529162E-2</v>
      </c>
      <c r="J14" s="92">
        <v>0.10714377059292086</v>
      </c>
      <c r="K14" s="76"/>
    </row>
    <row r="15" spans="1:12" x14ac:dyDescent="0.25">
      <c r="A15" s="68" t="s">
        <v>75</v>
      </c>
      <c r="B15" s="68">
        <v>52.5</v>
      </c>
      <c r="C15" s="92">
        <v>6.6579329626004172E-2</v>
      </c>
      <c r="D15" s="92">
        <v>7.5827845061820817E-2</v>
      </c>
      <c r="E15" s="92">
        <v>6.7251400866854175E-2</v>
      </c>
      <c r="F15" s="92">
        <v>6.8813083693379171E-2</v>
      </c>
      <c r="G15" s="92">
        <v>6.7411854087066667E-2</v>
      </c>
      <c r="H15" s="92">
        <v>0.10078223297992916</v>
      </c>
      <c r="I15" s="92">
        <v>6.4171770587566665E-2</v>
      </c>
      <c r="J15" s="92">
        <v>0.11015739540259585</v>
      </c>
      <c r="K15" s="76"/>
    </row>
    <row r="16" spans="1:12" x14ac:dyDescent="0.25">
      <c r="A16" s="68" t="s">
        <v>75</v>
      </c>
      <c r="B16" s="68">
        <v>57.5</v>
      </c>
      <c r="C16" s="92">
        <v>6.9249267068991663E-2</v>
      </c>
      <c r="D16" s="92">
        <v>7.886406220496249E-2</v>
      </c>
      <c r="E16" s="92">
        <v>7.0176816545429163E-2</v>
      </c>
      <c r="F16" s="92">
        <v>7.151342059176248E-2</v>
      </c>
      <c r="G16" s="92">
        <v>7.0113091419141668E-2</v>
      </c>
      <c r="H16" s="92">
        <v>0.10438159232338333</v>
      </c>
      <c r="I16" s="92">
        <v>6.6765845753245831E-2</v>
      </c>
      <c r="J16" s="92">
        <v>0.11392887557545835</v>
      </c>
      <c r="K16" s="76"/>
    </row>
    <row r="17" spans="1:11" x14ac:dyDescent="0.25">
      <c r="A17" s="68" t="s">
        <v>75</v>
      </c>
      <c r="B17" s="68">
        <v>62.5</v>
      </c>
      <c r="C17" s="92">
        <v>7.387586651990416E-2</v>
      </c>
      <c r="D17" s="92">
        <v>8.4143454519412506E-2</v>
      </c>
      <c r="E17" s="92">
        <v>7.5226409050329152E-2</v>
      </c>
      <c r="F17" s="92">
        <v>7.6202579153091657E-2</v>
      </c>
      <c r="G17" s="92">
        <v>7.4777587627379169E-2</v>
      </c>
      <c r="H17" s="92">
        <v>0.11062050083031666</v>
      </c>
      <c r="I17" s="92">
        <v>7.1271982975304168E-2</v>
      </c>
      <c r="J17" s="92">
        <v>0.12046600071092499</v>
      </c>
      <c r="K17" s="76"/>
    </row>
    <row r="18" spans="1:11" x14ac:dyDescent="0.25">
      <c r="A18" s="68" t="s">
        <v>75</v>
      </c>
      <c r="B18" s="68">
        <v>67.5</v>
      </c>
      <c r="C18" s="92">
        <v>8.3844804204999998E-2</v>
      </c>
      <c r="D18" s="92">
        <v>9.5541758462779194E-2</v>
      </c>
      <c r="E18" s="92">
        <v>8.608277607709168E-2</v>
      </c>
      <c r="F18" s="92">
        <v>8.6318604027233348E-2</v>
      </c>
      <c r="G18" s="92">
        <v>8.4807912198208324E-2</v>
      </c>
      <c r="H18" s="92">
        <v>0.12406558326134999</v>
      </c>
      <c r="I18" s="92">
        <v>8.099495371182501E-2</v>
      </c>
      <c r="J18" s="92">
        <v>0.13455433429529168</v>
      </c>
      <c r="K18" s="76"/>
    </row>
    <row r="19" spans="1:11" s="78" customFormat="1" x14ac:dyDescent="0.25">
      <c r="A19" s="68" t="s">
        <v>75</v>
      </c>
      <c r="B19" s="68">
        <v>72.5</v>
      </c>
      <c r="C19" s="92">
        <v>9.8305874814604163E-2</v>
      </c>
      <c r="D19" s="92">
        <v>0.11206741662075</v>
      </c>
      <c r="E19" s="92">
        <v>0.10185664612802081</v>
      </c>
      <c r="F19" s="92">
        <v>0.10099348736306248</v>
      </c>
      <c r="G19" s="92">
        <v>9.9346474744370847E-2</v>
      </c>
      <c r="H19" s="92">
        <v>0.14341733480493332</v>
      </c>
      <c r="I19" s="92">
        <v>9.5114408371350004E-2</v>
      </c>
      <c r="J19" s="92">
        <v>0.15483166712025836</v>
      </c>
      <c r="K19" s="76"/>
    </row>
    <row r="20" spans="1:11" x14ac:dyDescent="0.25">
      <c r="K20" s="76"/>
    </row>
  </sheetData>
  <sheetProtection selectLockedCells="1" selectUnlockedCells="1"/>
  <mergeCells count="1">
    <mergeCell ref="A2:J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tint="4.9989318521683403E-2"/>
  </sheetPr>
  <dimension ref="A1:L21"/>
  <sheetViews>
    <sheetView workbookViewId="0">
      <selection activeCell="G9" sqref="G9"/>
    </sheetView>
  </sheetViews>
  <sheetFormatPr defaultRowHeight="15" x14ac:dyDescent="0.25"/>
  <cols>
    <col min="1" max="1" width="14.42578125" bestFit="1" customWidth="1"/>
    <col min="3" max="9" width="12.140625" style="44" bestFit="1" customWidth="1"/>
    <col min="10" max="10" width="10.5703125" style="44" bestFit="1" customWidth="1"/>
  </cols>
  <sheetData>
    <row r="1" spans="1:12" s="78" customFormat="1" x14ac:dyDescent="0.25">
      <c r="C1" s="44"/>
      <c r="D1" s="44"/>
      <c r="E1" s="44"/>
      <c r="F1" s="44"/>
      <c r="G1" s="44"/>
      <c r="H1" s="44"/>
      <c r="I1" s="44"/>
      <c r="J1" s="44"/>
    </row>
    <row r="2" spans="1:12" s="2" customFormat="1" x14ac:dyDescent="0.25">
      <c r="A2" s="141" t="s">
        <v>95</v>
      </c>
      <c r="B2" s="141"/>
      <c r="C2" s="141"/>
      <c r="D2" s="141"/>
      <c r="E2" s="141"/>
      <c r="F2" s="141"/>
      <c r="G2" s="141"/>
      <c r="H2" s="141"/>
      <c r="I2" s="141"/>
      <c r="J2" s="141"/>
    </row>
    <row r="3" spans="1:12" x14ac:dyDescent="0.25">
      <c r="A3" s="84" t="s">
        <v>72</v>
      </c>
      <c r="B3" s="84" t="s">
        <v>73</v>
      </c>
      <c r="C3" s="91" t="s">
        <v>63</v>
      </c>
      <c r="D3" s="91" t="s">
        <v>64</v>
      </c>
      <c r="E3" s="91" t="s">
        <v>65</v>
      </c>
      <c r="F3" s="91" t="s">
        <v>66</v>
      </c>
      <c r="G3" s="91" t="s">
        <v>67</v>
      </c>
      <c r="H3" s="91" t="s">
        <v>68</v>
      </c>
      <c r="I3" s="91" t="s">
        <v>69</v>
      </c>
      <c r="J3" s="91" t="s">
        <v>70</v>
      </c>
    </row>
    <row r="4" spans="1:12" x14ac:dyDescent="0.25">
      <c r="A4" s="68" t="s">
        <v>75</v>
      </c>
      <c r="B4" s="68">
        <v>0</v>
      </c>
      <c r="C4" s="92">
        <v>6.5567779354754163E-2</v>
      </c>
      <c r="D4" s="92">
        <v>8.1067504361270845E-2</v>
      </c>
      <c r="E4" s="92">
        <v>6.1893741600208323E-2</v>
      </c>
      <c r="F4" s="92">
        <v>7.0603437721729181E-2</v>
      </c>
      <c r="G4" s="92">
        <v>6.396382534876667E-2</v>
      </c>
      <c r="H4" s="92">
        <v>0.11462958312284162</v>
      </c>
      <c r="I4" s="92">
        <v>6.4297999721024998E-2</v>
      </c>
      <c r="J4" s="92">
        <v>0.12921671072642085</v>
      </c>
      <c r="L4" s="78" t="s">
        <v>93</v>
      </c>
    </row>
    <row r="5" spans="1:12" x14ac:dyDescent="0.25">
      <c r="A5" s="68" t="s">
        <v>75</v>
      </c>
      <c r="B5" s="68">
        <v>2.5</v>
      </c>
      <c r="C5" s="92">
        <v>3.9247028840083333E-2</v>
      </c>
      <c r="D5" s="92">
        <v>4.8327774740745837E-2</v>
      </c>
      <c r="E5" s="92">
        <v>3.8055470678966669E-2</v>
      </c>
      <c r="F5" s="92">
        <v>4.1953462796904172E-2</v>
      </c>
      <c r="G5" s="92">
        <v>3.8519604597229161E-2</v>
      </c>
      <c r="H5" s="92">
        <v>6.7602954494454179E-2</v>
      </c>
      <c r="I5" s="92">
        <v>3.834292928997917E-2</v>
      </c>
      <c r="J5" s="92">
        <v>7.57629411916E-2</v>
      </c>
    </row>
    <row r="6" spans="1:12" x14ac:dyDescent="0.25">
      <c r="A6" s="68" t="s">
        <v>75</v>
      </c>
      <c r="B6" s="68">
        <v>7.5</v>
      </c>
      <c r="C6" s="92">
        <v>2.6086637517433339E-2</v>
      </c>
      <c r="D6" s="92">
        <v>3.1957992042116662E-2</v>
      </c>
      <c r="E6" s="92">
        <v>2.6136374877145832E-2</v>
      </c>
      <c r="F6" s="92">
        <v>2.7628487519291669E-2</v>
      </c>
      <c r="G6" s="92">
        <v>2.5797479165100001E-2</v>
      </c>
      <c r="H6" s="92">
        <v>4.408976699536251E-2</v>
      </c>
      <c r="I6" s="92">
        <v>2.53653832866375E-2</v>
      </c>
      <c r="J6" s="92">
        <v>4.9036212420716679E-2</v>
      </c>
    </row>
    <row r="7" spans="1:12" x14ac:dyDescent="0.25">
      <c r="A7" s="68" t="s">
        <v>75</v>
      </c>
      <c r="B7" s="68">
        <v>12.5</v>
      </c>
      <c r="C7" s="92">
        <v>2.1699841599908332E-2</v>
      </c>
      <c r="D7" s="92">
        <v>2.6501366713383327E-2</v>
      </c>
      <c r="E7" s="92">
        <v>2.2163341753175001E-2</v>
      </c>
      <c r="F7" s="92">
        <v>2.2853491595008334E-2</v>
      </c>
      <c r="G7" s="92">
        <v>2.1556770739458331E-2</v>
      </c>
      <c r="H7" s="92">
        <v>3.6251991521570832E-2</v>
      </c>
      <c r="I7" s="92">
        <v>2.1039516665041669E-2</v>
      </c>
      <c r="J7" s="92">
        <v>4.0127250210695839E-2</v>
      </c>
    </row>
    <row r="8" spans="1:12" x14ac:dyDescent="0.25">
      <c r="A8" s="68" t="s">
        <v>75</v>
      </c>
      <c r="B8" s="68">
        <v>17.5</v>
      </c>
      <c r="C8" s="92">
        <v>1.9025854067879166E-2</v>
      </c>
      <c r="D8" s="92">
        <v>2.3197466817987501E-2</v>
      </c>
      <c r="E8" s="92">
        <v>1.9638920668516666E-2</v>
      </c>
      <c r="F8" s="92">
        <v>1.9973645918070836E-2</v>
      </c>
      <c r="G8" s="92">
        <v>1.8949687480925001E-2</v>
      </c>
      <c r="H8" s="92">
        <v>3.1593700405208335E-2</v>
      </c>
      <c r="I8" s="92">
        <v>1.8415824975825001E-2</v>
      </c>
      <c r="J8" s="92">
        <v>3.4873566900695832E-2</v>
      </c>
    </row>
    <row r="9" spans="1:12" x14ac:dyDescent="0.25">
      <c r="A9" s="68" t="s">
        <v>75</v>
      </c>
      <c r="B9" s="68">
        <v>22.5</v>
      </c>
      <c r="C9" s="92">
        <v>1.645392916785833E-2</v>
      </c>
      <c r="D9" s="92">
        <v>2.0056374914329166E-2</v>
      </c>
      <c r="E9" s="92">
        <v>1.7041400152562499E-2</v>
      </c>
      <c r="F9" s="92">
        <v>1.7254529132820832E-2</v>
      </c>
      <c r="G9" s="92">
        <v>1.6405533223104167E-2</v>
      </c>
      <c r="H9" s="92">
        <v>2.731010418696667E-2</v>
      </c>
      <c r="I9" s="92">
        <v>1.5913983341300005E-2</v>
      </c>
      <c r="J9" s="92">
        <v>3.0112349971512496E-2</v>
      </c>
    </row>
    <row r="10" spans="1:12" x14ac:dyDescent="0.25">
      <c r="A10" s="68" t="s">
        <v>75</v>
      </c>
      <c r="B10" s="68">
        <v>27.5</v>
      </c>
      <c r="C10" s="92">
        <v>1.5156658327516665E-2</v>
      </c>
      <c r="D10" s="92">
        <v>1.8430162609241667E-2</v>
      </c>
      <c r="E10" s="92">
        <v>1.58496043101625E-2</v>
      </c>
      <c r="F10" s="92">
        <v>1.5849783395725001E-2</v>
      </c>
      <c r="G10" s="92">
        <v>1.5139345816954168E-2</v>
      </c>
      <c r="H10" s="92">
        <v>2.4912616393216666E-2</v>
      </c>
      <c r="I10" s="92">
        <v>1.4644650043920834E-2</v>
      </c>
      <c r="J10" s="92">
        <v>2.7410483142979166E-2</v>
      </c>
    </row>
    <row r="11" spans="1:12" x14ac:dyDescent="0.25">
      <c r="A11" s="68" t="s">
        <v>75</v>
      </c>
      <c r="B11" s="68">
        <v>32.5</v>
      </c>
      <c r="C11" s="92">
        <v>1.3803612479633333E-2</v>
      </c>
      <c r="D11" s="92">
        <v>1.6771724990866665E-2</v>
      </c>
      <c r="E11" s="92">
        <v>1.4493287540979167E-2</v>
      </c>
      <c r="F11" s="92">
        <v>1.4417612537124999E-2</v>
      </c>
      <c r="G11" s="92">
        <v>1.3799545859608334E-2</v>
      </c>
      <c r="H11" s="92">
        <v>2.2613487439233335E-2</v>
      </c>
      <c r="I11" s="92">
        <v>1.3330587457545832E-2</v>
      </c>
      <c r="J11" s="92">
        <v>2.4855500087141668E-2</v>
      </c>
    </row>
    <row r="12" spans="1:12" x14ac:dyDescent="0.25">
      <c r="A12" s="68" t="s">
        <v>75</v>
      </c>
      <c r="B12" s="68">
        <v>37.5</v>
      </c>
      <c r="C12" s="92">
        <v>1.2686212508316667E-2</v>
      </c>
      <c r="D12" s="92">
        <v>1.5408629124666668E-2</v>
      </c>
      <c r="E12" s="92">
        <v>1.3353804165183331E-2</v>
      </c>
      <c r="F12" s="92">
        <v>1.3240512460462499E-2</v>
      </c>
      <c r="G12" s="92">
        <v>1.2689883277441666E-2</v>
      </c>
      <c r="H12" s="92">
        <v>2.0749824897700005E-2</v>
      </c>
      <c r="I12" s="92">
        <v>1.2247020844366666E-2</v>
      </c>
      <c r="J12" s="92">
        <v>2.2791054099787499E-2</v>
      </c>
    </row>
    <row r="13" spans="1:12" x14ac:dyDescent="0.25">
      <c r="A13" s="68" t="s">
        <v>75</v>
      </c>
      <c r="B13" s="68">
        <v>42.5</v>
      </c>
      <c r="C13" s="92">
        <v>1.2038837536229167E-2</v>
      </c>
      <c r="D13" s="92">
        <v>1.4612579058541665E-2</v>
      </c>
      <c r="E13" s="92">
        <v>1.2725366745145831E-2</v>
      </c>
      <c r="F13" s="92">
        <v>1.25488916722375E-2</v>
      </c>
      <c r="G13" s="92">
        <v>1.205407917345E-2</v>
      </c>
      <c r="H13" s="92">
        <v>1.9636500161133334E-2</v>
      </c>
      <c r="I13" s="92">
        <v>1.1614845910424998E-2</v>
      </c>
      <c r="J13" s="92">
        <v>2.1543283248320829E-2</v>
      </c>
    </row>
    <row r="14" spans="1:12" x14ac:dyDescent="0.25">
      <c r="A14" s="68" t="s">
        <v>75</v>
      </c>
      <c r="B14" s="68">
        <v>47.5</v>
      </c>
      <c r="C14" s="92">
        <v>1.1896858379862501E-2</v>
      </c>
      <c r="D14" s="92">
        <v>1.442352096395E-2</v>
      </c>
      <c r="E14" s="92">
        <v>1.2659774976783333E-2</v>
      </c>
      <c r="F14" s="92">
        <v>1.2375229193520835E-2</v>
      </c>
      <c r="G14" s="92">
        <v>1.1930766593045835E-2</v>
      </c>
      <c r="H14" s="92">
        <v>1.9315845798695833E-2</v>
      </c>
      <c r="I14" s="92">
        <v>1.1466212531854167E-2</v>
      </c>
      <c r="J14" s="92">
        <v>2.1151900058608331E-2</v>
      </c>
    </row>
    <row r="15" spans="1:12" x14ac:dyDescent="0.25">
      <c r="A15" s="68" t="s">
        <v>75</v>
      </c>
      <c r="B15" s="68">
        <v>52.5</v>
      </c>
      <c r="C15" s="92">
        <v>1.1957833349395834E-2</v>
      </c>
      <c r="D15" s="92">
        <v>1.4478354055129169E-2</v>
      </c>
      <c r="E15" s="92">
        <v>1.2803537499466671E-2</v>
      </c>
      <c r="F15" s="92">
        <v>1.2415162442875001E-2</v>
      </c>
      <c r="G15" s="92">
        <v>1.2007833264454168E-2</v>
      </c>
      <c r="H15" s="92">
        <v>1.9311245763674992E-2</v>
      </c>
      <c r="I15" s="92">
        <v>1.1515674918570832E-2</v>
      </c>
      <c r="J15" s="92">
        <v>2.1112429366133334E-2</v>
      </c>
    </row>
    <row r="16" spans="1:12" x14ac:dyDescent="0.25">
      <c r="A16" s="68" t="s">
        <v>75</v>
      </c>
      <c r="B16" s="68">
        <v>57.5</v>
      </c>
      <c r="C16" s="92">
        <v>1.2219758355054166E-2</v>
      </c>
      <c r="D16" s="92">
        <v>1.4773708341337503E-2</v>
      </c>
      <c r="E16" s="92">
        <v>1.3158645830124998E-2</v>
      </c>
      <c r="F16" s="92">
        <v>1.26653208475E-2</v>
      </c>
      <c r="G16" s="92">
        <v>1.2284166606466669E-2</v>
      </c>
      <c r="H16" s="92">
        <v>1.9614562547450001E-2</v>
      </c>
      <c r="I16" s="92">
        <v>1.1760758352470833E-2</v>
      </c>
      <c r="J16" s="92">
        <v>2.1414079237724998E-2</v>
      </c>
    </row>
    <row r="17" spans="1:10" x14ac:dyDescent="0.25">
      <c r="A17" s="68" t="s">
        <v>75</v>
      </c>
      <c r="B17" s="68">
        <v>62.5</v>
      </c>
      <c r="C17" s="92">
        <v>1.3092233217325002E-2</v>
      </c>
      <c r="D17" s="92">
        <v>1.57959916396E-2</v>
      </c>
      <c r="E17" s="92">
        <v>1.4212608337399998E-2</v>
      </c>
      <c r="F17" s="92">
        <v>1.3536062518454165E-2</v>
      </c>
      <c r="G17" s="92">
        <v>1.3182237511504165E-2</v>
      </c>
      <c r="H17" s="92">
        <v>2.0837495801970835E-2</v>
      </c>
      <c r="I17" s="92">
        <v>1.2588949990462499E-2</v>
      </c>
      <c r="J17" s="92">
        <v>2.2702187377337497E-2</v>
      </c>
    </row>
    <row r="18" spans="1:10" x14ac:dyDescent="0.25">
      <c r="A18" s="68" t="s">
        <v>75</v>
      </c>
      <c r="B18" s="68">
        <v>67.5</v>
      </c>
      <c r="C18" s="92">
        <v>1.5490616749349999E-2</v>
      </c>
      <c r="D18" s="92">
        <v>1.8630991534645838E-2</v>
      </c>
      <c r="E18" s="92">
        <v>1.70269166119375E-2</v>
      </c>
      <c r="F18" s="92">
        <v>1.5953712631016668E-2</v>
      </c>
      <c r="G18" s="92">
        <v>1.5636450028966666E-2</v>
      </c>
      <c r="H18" s="92">
        <v>2.4336166602254159E-2</v>
      </c>
      <c r="I18" s="92">
        <v>1.4873233235758336E-2</v>
      </c>
      <c r="J18" s="92">
        <v>2.642564584192501E-2</v>
      </c>
    </row>
    <row r="19" spans="1:10" s="78" customFormat="1" x14ac:dyDescent="0.25">
      <c r="A19" s="68" t="s">
        <v>75</v>
      </c>
      <c r="B19" s="68">
        <v>72.5</v>
      </c>
      <c r="C19" s="92">
        <v>1.9381166513387501E-2</v>
      </c>
      <c r="D19" s="92">
        <v>2.3223795850445834E-2</v>
      </c>
      <c r="E19" s="92">
        <v>2.1503841659687498E-2</v>
      </c>
      <c r="F19" s="92">
        <v>1.9904916407533335E-2</v>
      </c>
      <c r="G19" s="92">
        <v>1.9587412631766662E-2</v>
      </c>
      <c r="H19" s="92">
        <v>2.99720999319E-2</v>
      </c>
      <c r="I19" s="92">
        <v>1.8600629176937503E-2</v>
      </c>
      <c r="J19" s="92">
        <v>3.2481141543633331E-2</v>
      </c>
    </row>
    <row r="21" spans="1:10" s="2" customFormat="1" x14ac:dyDescent="0.25">
      <c r="A21"/>
      <c r="B21"/>
      <c r="C21" s="44"/>
      <c r="D21" s="44"/>
      <c r="E21" s="44"/>
      <c r="F21" s="44"/>
      <c r="G21" s="44"/>
      <c r="H21" s="44"/>
      <c r="I21" s="44"/>
      <c r="J21" s="44"/>
    </row>
  </sheetData>
  <sheetProtection selectLockedCells="1" selectUnlockedCells="1"/>
  <mergeCells count="1">
    <mergeCell ref="A2:J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F862C301BDCB8448845B6F043F80C44D" ma:contentTypeVersion="1" ma:contentTypeDescription="Create a new document." ma:contentTypeScope="" ma:versionID="55ec1dacacfff85bc5dae7a8ca159430">
  <xsd:schema xmlns:xsd="http://www.w3.org/2001/XMLSchema" xmlns:xs="http://www.w3.org/2001/XMLSchema" xmlns:p="http://schemas.microsoft.com/office/2006/metadata/properties" xmlns:ns2="4330f931-10a5-416c-823c-3006a63f53e6" targetNamespace="http://schemas.microsoft.com/office/2006/metadata/properties" ma:root="true" ma:fieldsID="acb8c3c6fca0679b6025f24cd4a5b2d6" ns2:_="">
    <xsd:import namespace="4330f931-10a5-416c-823c-3006a63f53e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0f931-10a5-416c-823c-3006a63f53e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330f931-10a5-416c-823c-3006a63f53e6">YSVYXERJEEH6-1353811684-3284</_dlc_DocId>
    <_dlc_DocIdUrl xmlns="4330f931-10a5-416c-823c-3006a63f53e6">
      <Url>http://tr.hgac.net/admin/_layouts/15/DocIdRedir.aspx?ID=YSVYXERJEEH6-1353811684-3284</Url>
      <Description>YSVYXERJEEH6-1353811684-3284</Description>
    </_dlc_DocIdUrl>
  </documentManagement>
</p:properties>
</file>

<file path=customXml/itemProps1.xml><?xml version="1.0" encoding="utf-8"?>
<ds:datastoreItem xmlns:ds="http://schemas.openxmlformats.org/officeDocument/2006/customXml" ds:itemID="{48F7684D-DF01-4EE4-A67E-D74925E34212}"/>
</file>

<file path=customXml/itemProps2.xml><?xml version="1.0" encoding="utf-8"?>
<ds:datastoreItem xmlns:ds="http://schemas.openxmlformats.org/officeDocument/2006/customXml" ds:itemID="{ED92AA1B-FD7F-4BA9-B334-26796E63B611}"/>
</file>

<file path=customXml/itemProps3.xml><?xml version="1.0" encoding="utf-8"?>
<ds:datastoreItem xmlns:ds="http://schemas.openxmlformats.org/officeDocument/2006/customXml" ds:itemID="{020FCEF8-983D-4924-AFE1-6DA8E4711FE5}"/>
</file>

<file path=customXml/itemProps4.xml><?xml version="1.0" encoding="utf-8"?>
<ds:datastoreItem xmlns:ds="http://schemas.openxmlformats.org/officeDocument/2006/customXml" ds:itemID="{312A31BC-2F47-4F4F-AE17-41EAD978F5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ITS Delay Worksheet</vt:lpstr>
      <vt:lpstr>Emissions Reduction Worksheet</vt:lpstr>
      <vt:lpstr>Instructions</vt:lpstr>
      <vt:lpstr>Inputs &amp; Outputs</vt:lpstr>
      <vt:lpstr>Calculations</vt:lpstr>
      <vt:lpstr>Assumed Values</vt:lpstr>
      <vt:lpstr>Value of Emissions</vt:lpstr>
      <vt:lpstr>Emission Factors - NOx</vt:lpstr>
      <vt:lpstr>Emission Factors - VOC</vt:lpstr>
      <vt:lpstr>Service Life</vt:lpstr>
      <vt:lpstr>_2025_Capacity</vt:lpstr>
      <vt:lpstr>Application_ID_Number</vt:lpstr>
      <vt:lpstr>Name</vt:lpstr>
      <vt:lpstr>'Assumed Values'!Print_Area</vt:lpstr>
      <vt:lpstr>'Emissions Reduction Worksheet'!Print_Area</vt:lpstr>
      <vt:lpstr>'Inputs &amp; Outputs'!Print_Area</vt:lpstr>
      <vt:lpstr>Instructions!Print_Area</vt:lpstr>
      <vt:lpstr>'ITS Delay Worksheet'!Print_Area</vt:lpstr>
      <vt:lpstr>Sponsor_ID_Number__CSJ__etc.</vt:lpstr>
      <vt:lpstr>Year_Open_to_Traffic?</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Andrew J. DeCandis</cp:lastModifiedBy>
  <cp:lastPrinted>2018-04-10T17:15:43Z</cp:lastPrinted>
  <dcterms:created xsi:type="dcterms:W3CDTF">2012-07-25T15:48:32Z</dcterms:created>
  <dcterms:modified xsi:type="dcterms:W3CDTF">2021-06-22T15:05:24Z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0x010100F862C301BDCB8448845B6F043F80C44D</vt:lpwstr>
  </property>
  <property fmtid="{D5CDD505-2E9C-101B-9397-08002B2CF9AE}" pid="3" name="_dlc_DocIdItemGuid">
    <vt:lpwstr>9b228335-9c85-44a8-8724-54ac6652e990</vt:lpwstr>
  </property>
</Properties>
</file>